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05" windowHeight="77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<sst xmlns="http://schemas.openxmlformats.org/spreadsheetml/2006/main" count="88" uniqueCount="79">
  <si>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</si>
  <si>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</si>
  <si>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</si>
  <si>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</si>
  <si>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</si>
  <si>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</si>
  <si>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 peč.služba</t>
  </si>
  <si>
    <t>4319 soc. péče</t>
  </si>
  <si>
    <t>4359 ost.soc</t>
  </si>
  <si>
    <t>05                                SOC. A  ZDRAV.</t>
  </si>
  <si>
    <t>04                                Š K O L S T V Í</t>
  </si>
  <si>
    <t>3313 kino</t>
  </si>
  <si>
    <t>3314 knihovna</t>
  </si>
  <si>
    <t>3319 kult.střed</t>
  </si>
  <si>
    <t>3319 kult.akce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</si>
  <si>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</si>
  <si>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</si>
  <si>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</si>
  <si>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</si>
  <si>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</si>
  <si>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</si>
  <si>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</si>
  <si>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</si>
  <si>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</si>
  <si>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</si>
  <si>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</si>
  <si>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</si>
  <si>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</si>
  <si>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</si>
  <si>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</si>
  <si>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</si>
  <si>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</si>
  <si>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</si>
  <si>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</si>
  <si>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</si>
  <si>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1511 daň z nemovitostí</t>
  </si>
  <si>
    <t>1361 správní poplatky</t>
  </si>
  <si>
    <t>1341-5,7,51 místní poplatky</t>
  </si>
  <si>
    <t>dotace stát: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</si>
  <si>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</si>
  <si>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</si>
  <si>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</si>
  <si>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</si>
  <si>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</si>
  <si>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</si>
  <si>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01                             ÚZEMNÍ  ROZVOJ</t>
  </si>
  <si>
    <t>02                             INFRASTRUKTURA</t>
  </si>
  <si>
    <t>3412 sport.zař</t>
  </si>
  <si>
    <t>4359 péče soc.péče</t>
  </si>
  <si>
    <t>03                                D O P R A V A</t>
  </si>
  <si>
    <t>4112 dotace stát:</t>
  </si>
  <si>
    <r>
      <t>221</t>
    </r>
    <r>
      <rPr>
        <sz val="7"/>
        <rFont val="Arial"/>
        <family val="2"/>
      </rPr>
      <t>2</t>
    </r>
    <r>
      <rPr>
        <sz val="7"/>
        <rFont val="Arial"/>
        <family val="0"/>
      </rPr>
      <t xml:space="preserve"> sankce</t>
    </r>
  </si>
  <si>
    <t>R 2012</t>
  </si>
  <si>
    <t>4121 výnos DPPO za 2011</t>
  </si>
  <si>
    <t>3541 prevence</t>
  </si>
  <si>
    <t>4121 HMP+obce dotace</t>
  </si>
  <si>
    <r>
      <t>07                                  B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E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Z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P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E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Č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N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O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S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T</t>
    </r>
  </si>
  <si>
    <r>
      <t>06                       KULTURA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SPORT</t>
    </r>
  </si>
  <si>
    <r>
      <t>Úprava ZMČ</t>
    </r>
    <r>
      <rPr>
        <sz val="8"/>
        <rFont val="Arial"/>
        <family val="2"/>
      </rPr>
      <t xml:space="preserve"> 28.3.2012</t>
    </r>
  </si>
  <si>
    <r>
      <t xml:space="preserve">2329 nahod </t>
    </r>
    <r>
      <rPr>
        <sz val="7"/>
        <rFont val="Arial"/>
        <family val="2"/>
      </rPr>
      <t>(z r. 2011), 2322 poj.pln</t>
    </r>
  </si>
  <si>
    <r>
      <t xml:space="preserve">2310 </t>
    </r>
    <r>
      <rPr>
        <sz val="8"/>
        <rFont val="Arial"/>
        <family val="2"/>
      </rPr>
      <t>voda</t>
    </r>
    <r>
      <rPr>
        <sz val="7"/>
        <rFont val="Arial"/>
        <family val="2"/>
      </rPr>
      <t xml:space="preserve"> 2321</t>
    </r>
    <r>
      <rPr>
        <sz val="8"/>
        <rFont val="Arial"/>
        <family val="2"/>
      </rPr>
      <t xml:space="preserve"> odp. voda</t>
    </r>
    <r>
      <rPr>
        <sz val="7"/>
        <rFont val="Arial"/>
        <family val="2"/>
      </rPr>
      <t xml:space="preserve"> 3722</t>
    </r>
    <r>
      <rPr>
        <sz val="8"/>
        <rFont val="Arial"/>
        <family val="2"/>
      </rPr>
      <t xml:space="preserve"> odpady</t>
    </r>
  </si>
  <si>
    <t>FV 2011</t>
  </si>
  <si>
    <r>
      <t>4379 péče</t>
    </r>
    <r>
      <rPr>
        <sz val="8"/>
        <rFont val="Arial"/>
        <family val="2"/>
      </rPr>
      <t xml:space="preserve"> o seniory</t>
    </r>
  </si>
  <si>
    <r>
      <t>4329 péče</t>
    </r>
    <r>
      <rPr>
        <sz val="8"/>
        <rFont val="Arial"/>
        <family val="2"/>
      </rPr>
      <t xml:space="preserve"> o mládež</t>
    </r>
  </si>
  <si>
    <r>
      <t>4351/4</t>
    </r>
    <r>
      <rPr>
        <sz val="8"/>
        <rFont val="Arial"/>
        <family val="2"/>
      </rPr>
      <t xml:space="preserve"> přísp.</t>
    </r>
    <r>
      <rPr>
        <sz val="9"/>
        <rFont val="Arial"/>
        <family val="0"/>
      </rPr>
      <t>stravné</t>
    </r>
  </si>
  <si>
    <r>
      <t>3319 kronika,</t>
    </r>
    <r>
      <rPr>
        <sz val="8"/>
        <rFont val="Arial"/>
        <family val="2"/>
      </rPr>
      <t>letopis</t>
    </r>
  </si>
  <si>
    <r>
      <t>Úprava ZMČ</t>
    </r>
    <r>
      <rPr>
        <sz val="8"/>
        <rFont val="Arial"/>
        <family val="2"/>
      </rPr>
      <t xml:space="preserve"> 20.6.2012</t>
    </r>
  </si>
  <si>
    <t>4185 za 2011</t>
  </si>
  <si>
    <t>4351/3 SZ vybavení</t>
  </si>
  <si>
    <r>
      <t>Úprava ZMČ</t>
    </r>
    <r>
      <rPr>
        <sz val="8"/>
        <rFont val="Arial"/>
        <family val="2"/>
      </rPr>
      <t xml:space="preserve"> 26.9.2012</t>
    </r>
  </si>
  <si>
    <r>
      <t>Úprava ZMČ</t>
    </r>
    <r>
      <rPr>
        <sz val="8"/>
        <rFont val="Arial"/>
        <family val="0"/>
      </rPr>
      <t xml:space="preserve"> 26.9.2012</t>
    </r>
  </si>
  <si>
    <t>volby</t>
  </si>
  <si>
    <t>Upravený rozpočet 11/2012</t>
  </si>
  <si>
    <r>
      <t>Úprava ZMČ</t>
    </r>
    <r>
      <rPr>
        <sz val="8"/>
        <rFont val="Arial"/>
        <family val="2"/>
      </rPr>
      <t xml:space="preserve"> 5.11.2012</t>
    </r>
  </si>
  <si>
    <r>
      <t>Návrh úpravy ZMČ</t>
    </r>
    <r>
      <rPr>
        <sz val="8"/>
        <rFont val="Arial"/>
        <family val="2"/>
      </rPr>
      <t xml:space="preserve"> 17.12.2012</t>
    </r>
  </si>
  <si>
    <t xml:space="preserve">fin.vypoř. 2011: </t>
  </si>
  <si>
    <t xml:space="preserve">ponecháno z 2011: </t>
  </si>
  <si>
    <t xml:space="preserve">rozdíl UR příjmů a výdajů: </t>
  </si>
  <si>
    <r>
      <t>Usnesení zastupitelstva č. 4      Číslo zastupitelstva: 12      dne 17.12.2012</t>
    </r>
    <r>
      <rPr>
        <sz val="9"/>
        <rFont val="Arial"/>
        <family val="0"/>
      </rPr>
      <t xml:space="preserve">
</t>
    </r>
    <r>
      <rPr>
        <b/>
        <sz val="11"/>
        <rFont val="Arial"/>
        <family val="2"/>
      </rPr>
      <t>Úprava rozpočtu MČ Praha 16 na rok 2012</t>
    </r>
    <r>
      <rPr>
        <sz val="9"/>
        <rFont val="Arial"/>
        <family val="0"/>
      </rPr>
      <t xml:space="preserve">
</t>
    </r>
    <r>
      <rPr>
        <sz val="10"/>
        <rFont val="Arial"/>
        <family val="2"/>
      </rPr>
      <t>Zastupitelstvo MČ Praha 16   s c h v a l u j e   úpravu rozpočtu Městské části Praha 16 na rok 2012 v oblasti příjmů +1.474,6 tis. Kč a výdajů +1.296,3 na celkovou výši příjmů 107.750,3 a výdajů 111.109,9 tis. Kč po zápočtu finančního vypořádání za rok 2011.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</si>
</sst>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i/>
      <sz val="7"/>
      <name val="Arial CE"/>
      <family val="2"/>
    </font>
    <font>
      <sz val="8"/>
      <color indexed="10"/>
      <name val="Arial"/>
      <family val="0"/>
    </font>
    <font>
      <sz val="6"/>
      <color indexed="20"/>
      <name val="Arial CE"/>
      <family val="0"/>
    </font>
    <font>
      <sz val="6"/>
      <color indexed="20"/>
      <name val="Arial"/>
      <family val="0"/>
    </font>
    <font>
      <sz val="7"/>
      <color indexed="20"/>
      <name val="Arial"/>
      <family val="0"/>
    </font>
    <font>
      <sz val="8"/>
      <color indexed="20"/>
      <name val="Arial CE"/>
      <family val="0"/>
    </font>
    <font>
      <sz val="8"/>
      <color indexed="16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8" fillId="3" borderId="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164" fontId="11" fillId="3" borderId="6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164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wrapText="1"/>
    </xf>
    <xf numFmtId="0" fontId="12" fillId="0" borderId="3" xfId="0" applyNumberFormat="1" applyFont="1" applyFill="1" applyBorder="1" applyAlignment="1">
      <alignment wrapText="1"/>
    </xf>
    <xf numFmtId="164" fontId="13" fillId="0" borderId="3" xfId="0" applyNumberFormat="1" applyFont="1" applyFill="1" applyBorder="1" applyAlignment="1">
      <alignment wrapText="1"/>
    </xf>
    <xf numFmtId="164" fontId="14" fillId="0" borderId="3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164" fontId="15" fillId="0" borderId="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0" fillId="3" borderId="3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85" zoomScaleNormal="85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52" sqref="V52"/>
    </sheetView>
  </sheetViews>
  <sheetFormatPr defaultColWidth="9.140625" defaultRowHeight="12.75"/>
  <cols>
    <col min="1" max="1" width="16.7109375" style="2" customWidth="1"/>
    <col min="2" max="2" width="8.140625" style="52" customWidth="1"/>
    <col min="3" max="3" width="7.7109375" style="64" customWidth="1"/>
    <col min="4" max="4" width="7.8515625" style="64" customWidth="1"/>
    <col min="5" max="5" width="8.28125" style="64" customWidth="1"/>
    <col min="6" max="7" width="8.7109375" style="52" customWidth="1"/>
    <col min="8" max="8" width="9.7109375" style="71" customWidth="1"/>
    <col min="9" max="9" width="1.7109375" style="24" customWidth="1"/>
    <col min="10" max="10" width="15.7109375" style="32" customWidth="1"/>
    <col min="11" max="11" width="8.140625" style="52" customWidth="1"/>
    <col min="12" max="12" width="7.7109375" style="64" customWidth="1"/>
    <col min="13" max="13" width="8.7109375" style="64" customWidth="1"/>
    <col min="14" max="14" width="8.28125" style="76" customWidth="1"/>
    <col min="15" max="16" width="8.7109375" style="53" customWidth="1"/>
    <col min="17" max="17" width="9.7109375" style="53" customWidth="1"/>
    <col min="18" max="16384" width="9.140625" style="39" customWidth="1"/>
  </cols>
  <sheetData>
    <row r="1" spans="1:17" s="17" customFormat="1" ht="13.5" thickTop="1">
      <c r="A1" s="3"/>
      <c r="B1" s="83" t="s">
        <v>28</v>
      </c>
      <c r="C1" s="84"/>
      <c r="D1" s="84"/>
      <c r="E1" s="84"/>
      <c r="F1" s="84"/>
      <c r="G1" s="84"/>
      <c r="H1" s="85"/>
      <c r="I1" s="21"/>
      <c r="J1" s="25"/>
      <c r="K1" s="83" t="s">
        <v>29</v>
      </c>
      <c r="L1" s="84"/>
      <c r="M1" s="84"/>
      <c r="N1" s="84"/>
      <c r="O1" s="84"/>
      <c r="P1" s="84"/>
      <c r="Q1" s="86"/>
    </row>
    <row r="2" spans="1:17" s="1" customFormat="1" ht="47.25">
      <c r="A2" s="4"/>
      <c r="B2" s="35" t="s">
        <v>52</v>
      </c>
      <c r="C2" s="63" t="s">
        <v>58</v>
      </c>
      <c r="D2" s="63" t="s">
        <v>66</v>
      </c>
      <c r="E2" s="63" t="s">
        <v>69</v>
      </c>
      <c r="F2" s="63" t="s">
        <v>73</v>
      </c>
      <c r="G2" s="63" t="s">
        <v>74</v>
      </c>
      <c r="H2" s="63" t="s">
        <v>72</v>
      </c>
      <c r="I2" s="69"/>
      <c r="J2" s="70"/>
      <c r="K2" s="35" t="s">
        <v>52</v>
      </c>
      <c r="L2" s="63" t="s">
        <v>58</v>
      </c>
      <c r="M2" s="63" t="s">
        <v>66</v>
      </c>
      <c r="N2" s="35" t="s">
        <v>70</v>
      </c>
      <c r="O2" s="63" t="s">
        <v>73</v>
      </c>
      <c r="P2" s="63" t="s">
        <v>74</v>
      </c>
      <c r="Q2" s="36" t="s">
        <v>72</v>
      </c>
    </row>
    <row r="3" spans="1:17" ht="12.75">
      <c r="A3" s="5" t="s">
        <v>39</v>
      </c>
      <c r="B3" s="6"/>
      <c r="C3" s="45"/>
      <c r="D3" s="45">
        <v>150</v>
      </c>
      <c r="E3" s="45">
        <f>7/7*99/99*81</f>
        <v>81</v>
      </c>
      <c r="F3" s="6"/>
      <c r="G3" s="6"/>
      <c r="H3" s="45">
        <f>SUM(B3:G3)</f>
        <v>231</v>
      </c>
      <c r="I3" s="22"/>
      <c r="J3" s="20"/>
      <c r="K3" s="37"/>
      <c r="L3" s="45"/>
      <c r="M3" s="45"/>
      <c r="N3" s="6"/>
      <c r="O3" s="37"/>
      <c r="P3" s="37"/>
      <c r="Q3" s="38">
        <f>SUM(K3:P3)</f>
        <v>0</v>
      </c>
    </row>
    <row r="4" spans="1:17" ht="12.75" hidden="1">
      <c r="A4" s="5"/>
      <c r="B4" s="37"/>
      <c r="C4" s="45"/>
      <c r="D4" s="45"/>
      <c r="E4" s="45"/>
      <c r="F4" s="37"/>
      <c r="G4" s="37"/>
      <c r="H4" s="45"/>
      <c r="I4" s="22"/>
      <c r="J4" s="20"/>
      <c r="K4" s="37"/>
      <c r="L4" s="45"/>
      <c r="M4" s="45"/>
      <c r="N4" s="6"/>
      <c r="O4" s="37"/>
      <c r="P4" s="37"/>
      <c r="Q4" s="38"/>
    </row>
    <row r="5" spans="1:17" s="17" customFormat="1" ht="24">
      <c r="A5" s="10" t="s">
        <v>45</v>
      </c>
      <c r="B5" s="11">
        <f aca="true" t="shared" si="0" ref="B5:H5">SUM(B3:B4)</f>
        <v>0</v>
      </c>
      <c r="C5" s="11">
        <f t="shared" si="0"/>
        <v>0</v>
      </c>
      <c r="D5" s="11">
        <f t="shared" si="0"/>
        <v>150</v>
      </c>
      <c r="E5" s="11">
        <f t="shared" si="0"/>
        <v>81</v>
      </c>
      <c r="F5" s="55">
        <f t="shared" si="0"/>
        <v>0</v>
      </c>
      <c r="G5" s="55">
        <f t="shared" si="0"/>
        <v>0</v>
      </c>
      <c r="H5" s="11">
        <f t="shared" si="0"/>
        <v>231</v>
      </c>
      <c r="I5" s="23"/>
      <c r="J5" s="20"/>
      <c r="K5" s="11">
        <f aca="true" t="shared" si="1" ref="K5:Q5">SUM(K3:K4)</f>
        <v>0</v>
      </c>
      <c r="L5" s="11">
        <f t="shared" si="1"/>
        <v>0</v>
      </c>
      <c r="M5" s="11">
        <f t="shared" si="1"/>
        <v>0</v>
      </c>
      <c r="N5" s="55">
        <f t="shared" si="1"/>
        <v>0</v>
      </c>
      <c r="O5" s="55">
        <f t="shared" si="1"/>
        <v>0</v>
      </c>
      <c r="P5" s="55">
        <f t="shared" si="1"/>
        <v>0</v>
      </c>
      <c r="Q5" s="12">
        <f t="shared" si="1"/>
        <v>0</v>
      </c>
    </row>
    <row r="6" spans="1:17" ht="12.75">
      <c r="A6" s="5" t="s">
        <v>0</v>
      </c>
      <c r="B6" s="6">
        <v>100</v>
      </c>
      <c r="C6" s="45"/>
      <c r="D6" s="45"/>
      <c r="E6" s="45"/>
      <c r="F6" s="6"/>
      <c r="G6" s="6">
        <f>256</f>
        <v>256</v>
      </c>
      <c r="H6" s="45">
        <f>SUM(B6:G6)</f>
        <v>356</v>
      </c>
      <c r="I6" s="22"/>
      <c r="J6" s="20"/>
      <c r="K6" s="37"/>
      <c r="L6" s="45"/>
      <c r="M6" s="45"/>
      <c r="N6" s="74"/>
      <c r="O6" s="37"/>
      <c r="P6" s="37"/>
      <c r="Q6" s="38">
        <f>SUM(K6:P6)</f>
        <v>0</v>
      </c>
    </row>
    <row r="7" spans="1:17" ht="22.5">
      <c r="A7" s="62" t="s">
        <v>60</v>
      </c>
      <c r="B7" s="37">
        <f>2321/2321*50+3722/3722*500</f>
        <v>550</v>
      </c>
      <c r="C7" s="45">
        <f>2/2*4200</f>
        <v>4200</v>
      </c>
      <c r="D7" s="45"/>
      <c r="E7" s="45">
        <f>9/9*3722/3722*-500</f>
        <v>-500</v>
      </c>
      <c r="F7" s="37"/>
      <c r="G7" s="37">
        <v>62</v>
      </c>
      <c r="H7" s="45">
        <f>SUM(B7:G7)</f>
        <v>4312</v>
      </c>
      <c r="I7" s="68"/>
      <c r="J7" s="20"/>
      <c r="K7" s="37"/>
      <c r="L7" s="45"/>
      <c r="M7" s="45"/>
      <c r="N7" s="74"/>
      <c r="O7" s="37"/>
      <c r="P7" s="37"/>
      <c r="Q7" s="38">
        <f>SUM(K7:P7)</f>
        <v>0</v>
      </c>
    </row>
    <row r="8" spans="1:17" ht="12.75" hidden="1">
      <c r="A8" s="5" t="s">
        <v>41</v>
      </c>
      <c r="B8" s="37"/>
      <c r="C8" s="45"/>
      <c r="D8" s="45"/>
      <c r="E8" s="45"/>
      <c r="F8" s="37"/>
      <c r="G8" s="37"/>
      <c r="H8" s="45">
        <f>SUM(B8:G8)</f>
        <v>0</v>
      </c>
      <c r="I8" s="22"/>
      <c r="J8" s="20"/>
      <c r="K8" s="37"/>
      <c r="L8" s="45"/>
      <c r="M8" s="45"/>
      <c r="N8" s="74"/>
      <c r="O8" s="37"/>
      <c r="P8" s="37"/>
      <c r="Q8" s="38">
        <f>SUM(K8:P8)</f>
        <v>0</v>
      </c>
    </row>
    <row r="9" spans="1:17" ht="12.75">
      <c r="A9" s="5" t="s">
        <v>40</v>
      </c>
      <c r="B9" s="37">
        <v>100</v>
      </c>
      <c r="C9" s="45"/>
      <c r="D9" s="45">
        <v>233</v>
      </c>
      <c r="E9" s="45"/>
      <c r="F9" s="37"/>
      <c r="G9" s="37"/>
      <c r="H9" s="45">
        <f>SUM(B9:G9)</f>
        <v>333</v>
      </c>
      <c r="I9" s="22"/>
      <c r="J9" s="20"/>
      <c r="K9" s="37"/>
      <c r="L9" s="45"/>
      <c r="M9" s="45"/>
      <c r="N9" s="74"/>
      <c r="O9" s="37"/>
      <c r="P9" s="37"/>
      <c r="Q9" s="38">
        <f>SUM(K9:P9)</f>
        <v>0</v>
      </c>
    </row>
    <row r="10" spans="1:17" s="17" customFormat="1" ht="24">
      <c r="A10" s="10" t="s">
        <v>46</v>
      </c>
      <c r="B10" s="11">
        <f aca="true" t="shared" si="2" ref="B10:H10">SUM(B6:B9)</f>
        <v>750</v>
      </c>
      <c r="C10" s="11">
        <f t="shared" si="2"/>
        <v>4200</v>
      </c>
      <c r="D10" s="11">
        <f t="shared" si="2"/>
        <v>233</v>
      </c>
      <c r="E10" s="11">
        <f t="shared" si="2"/>
        <v>-500</v>
      </c>
      <c r="F10" s="55">
        <f t="shared" si="2"/>
        <v>0</v>
      </c>
      <c r="G10" s="55">
        <f t="shared" si="2"/>
        <v>318</v>
      </c>
      <c r="H10" s="11">
        <f t="shared" si="2"/>
        <v>5001</v>
      </c>
      <c r="I10" s="23"/>
      <c r="J10" s="29"/>
      <c r="K10" s="11">
        <f aca="true" t="shared" si="3" ref="K10:Q10">SUM(K6:K9)</f>
        <v>0</v>
      </c>
      <c r="L10" s="11">
        <f t="shared" si="3"/>
        <v>0</v>
      </c>
      <c r="M10" s="11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0</v>
      </c>
      <c r="Q10" s="12">
        <f t="shared" si="3"/>
        <v>0</v>
      </c>
    </row>
    <row r="11" spans="1:17" ht="12.75">
      <c r="A11" s="5" t="s">
        <v>43</v>
      </c>
      <c r="B11" s="6">
        <f>500-300</f>
        <v>200</v>
      </c>
      <c r="C11" s="45"/>
      <c r="D11" s="45">
        <v>85</v>
      </c>
      <c r="E11" s="45">
        <f>7/7*99/99*346</f>
        <v>346</v>
      </c>
      <c r="F11" s="6"/>
      <c r="G11" s="6">
        <v>195</v>
      </c>
      <c r="H11" s="45">
        <f>SUM(B11:G11)</f>
        <v>826</v>
      </c>
      <c r="I11" s="22"/>
      <c r="J11" s="26"/>
      <c r="K11" s="37"/>
      <c r="L11" s="45"/>
      <c r="M11" s="45"/>
      <c r="N11" s="74"/>
      <c r="O11" s="37"/>
      <c r="P11" s="37"/>
      <c r="Q11" s="38">
        <f>SUM(K11:P11)</f>
        <v>0</v>
      </c>
    </row>
    <row r="12" spans="1:17" ht="12.75">
      <c r="A12" s="5" t="s">
        <v>42</v>
      </c>
      <c r="B12" s="37">
        <v>100</v>
      </c>
      <c r="C12" s="45"/>
      <c r="D12" s="45"/>
      <c r="E12" s="45">
        <f>7/7*99/99*57</f>
        <v>57</v>
      </c>
      <c r="F12" s="37"/>
      <c r="G12" s="37">
        <v>300</v>
      </c>
      <c r="H12" s="45">
        <f>SUM(B12:G12)</f>
        <v>457</v>
      </c>
      <c r="I12" s="22"/>
      <c r="J12" s="20"/>
      <c r="K12" s="37"/>
      <c r="L12" s="45"/>
      <c r="M12" s="45"/>
      <c r="N12" s="74"/>
      <c r="O12" s="37"/>
      <c r="P12" s="37"/>
      <c r="Q12" s="38">
        <f>SUM(K12:P12)</f>
        <v>0</v>
      </c>
    </row>
    <row r="13" spans="1:17" s="17" customFormat="1" ht="24">
      <c r="A13" s="10" t="s">
        <v>49</v>
      </c>
      <c r="B13" s="11">
        <f aca="true" t="shared" si="4" ref="B13:H13">SUM(B11:B12)</f>
        <v>300</v>
      </c>
      <c r="C13" s="11">
        <f t="shared" si="4"/>
        <v>0</v>
      </c>
      <c r="D13" s="11">
        <f t="shared" si="4"/>
        <v>85</v>
      </c>
      <c r="E13" s="11">
        <f t="shared" si="4"/>
        <v>403</v>
      </c>
      <c r="F13" s="55">
        <f t="shared" si="4"/>
        <v>0</v>
      </c>
      <c r="G13" s="55">
        <f t="shared" si="4"/>
        <v>495</v>
      </c>
      <c r="H13" s="11">
        <f t="shared" si="4"/>
        <v>1283</v>
      </c>
      <c r="I13" s="23"/>
      <c r="J13" s="29"/>
      <c r="K13" s="11">
        <f aca="true" t="shared" si="5" ref="K13:Q13">SUM(K11:K12)</f>
        <v>0</v>
      </c>
      <c r="L13" s="11">
        <f t="shared" si="5"/>
        <v>0</v>
      </c>
      <c r="M13" s="11">
        <f t="shared" si="5"/>
        <v>0</v>
      </c>
      <c r="N13" s="55">
        <f t="shared" si="5"/>
        <v>0</v>
      </c>
      <c r="O13" s="55">
        <f t="shared" si="5"/>
        <v>0</v>
      </c>
      <c r="P13" s="55">
        <f t="shared" si="5"/>
        <v>0</v>
      </c>
      <c r="Q13" s="12">
        <f t="shared" si="5"/>
        <v>0</v>
      </c>
    </row>
    <row r="14" spans="1:17" s="18" customFormat="1" ht="19.5" customHeight="1">
      <c r="A14" s="5" t="s">
        <v>1</v>
      </c>
      <c r="B14" s="16">
        <f>(1580*1.05+1-1660*0)*(1+0.015*5)+15.1*0-1700*0+5.5-1790*0+(2500+200)</f>
        <v>4490</v>
      </c>
      <c r="C14" s="45"/>
      <c r="D14" s="45">
        <f>212.1+4000+16/16*(-1500+506)</f>
        <v>3218.1000000000004</v>
      </c>
      <c r="E14" s="45">
        <f>7/7*(106.1*2)*0+4000*0+9/9*(-190-900+100)</f>
        <v>-990</v>
      </c>
      <c r="F14" s="8"/>
      <c r="G14" s="8">
        <f>16/16*57</f>
        <v>57</v>
      </c>
      <c r="H14" s="45">
        <f>SUM(B14:G14)</f>
        <v>6775.1</v>
      </c>
      <c r="I14" s="40"/>
      <c r="J14" s="27" t="s">
        <v>38</v>
      </c>
      <c r="K14" s="16">
        <f>((250+75)*0+2012/2012*(300*0+(75+50+127+48)))*(1397*0+1375*0+2012/2012*1360.2)/1000+0.125*0-0.06</f>
        <v>408</v>
      </c>
      <c r="L14" s="45"/>
      <c r="M14" s="45"/>
      <c r="N14" s="74"/>
      <c r="O14" s="8"/>
      <c r="P14" s="8"/>
      <c r="Q14" s="9">
        <f>SUM(K14:P14)</f>
        <v>408</v>
      </c>
    </row>
    <row r="15" spans="1:17" s="18" customFormat="1" ht="12.75">
      <c r="A15" s="5" t="s">
        <v>2</v>
      </c>
      <c r="B15" s="16">
        <f>(3750*1.05+2.5-3940*0)*(1+0.015*5)+0.9*0-4000*0+4.5-4240*0</f>
        <v>4240</v>
      </c>
      <c r="C15" s="45"/>
      <c r="D15" s="45">
        <f>439.6+282+16/16*(1682+124)</f>
        <v>2527.6</v>
      </c>
      <c r="E15" s="45">
        <f>7/7*(72.2+(141.1*2)*0+99/99*(25+824))+9/9*(190+110+450)</f>
        <v>1671.2</v>
      </c>
      <c r="F15" s="8">
        <f>(64+6)</f>
        <v>70</v>
      </c>
      <c r="G15" s="8">
        <f>11/11*242.6+12/12*166.3+16/16*(547+81)</f>
        <v>1036.9</v>
      </c>
      <c r="H15" s="45">
        <f>SUM(B15:G15)</f>
        <v>9545.7</v>
      </c>
      <c r="I15" s="41"/>
      <c r="J15" s="27" t="s">
        <v>38</v>
      </c>
      <c r="K15" s="16">
        <f>(537*0+2012/2012*(617*0+619))*(1397*0+1375*0+2012/2012*1360.2)/1000-0.375*0-0.2434*0+0.0362</f>
        <v>842</v>
      </c>
      <c r="L15" s="45"/>
      <c r="M15" s="45"/>
      <c r="N15" s="74"/>
      <c r="O15" s="8"/>
      <c r="P15" s="8"/>
      <c r="Q15" s="9">
        <f>SUM(K15:P15)</f>
        <v>842</v>
      </c>
    </row>
    <row r="16" spans="1:17" ht="12.75">
      <c r="A16" s="5" t="s">
        <v>3</v>
      </c>
      <c r="B16" s="16">
        <f>(1050*1.05-2.5-1100*0)*(1+0.015*5)+3.5*0-1120*0+7.5-1190*0</f>
        <v>1190</v>
      </c>
      <c r="C16" s="45"/>
      <c r="D16" s="45">
        <f>50.1</f>
        <v>50.1</v>
      </c>
      <c r="E16" s="45">
        <f>7/7*25.1*2*0</f>
        <v>0</v>
      </c>
      <c r="F16" s="8"/>
      <c r="G16" s="8">
        <f>16/16*40</f>
        <v>40</v>
      </c>
      <c r="H16" s="45">
        <f>SUM(B16:G16)</f>
        <v>1280.1</v>
      </c>
      <c r="I16" s="41"/>
      <c r="J16" s="28"/>
      <c r="K16" s="37"/>
      <c r="L16" s="45"/>
      <c r="M16" s="45"/>
      <c r="N16" s="74"/>
      <c r="O16" s="37"/>
      <c r="P16" s="37"/>
      <c r="Q16" s="38">
        <f>SUM(K16:P16)</f>
        <v>0</v>
      </c>
    </row>
    <row r="17" spans="1:17" ht="12.75">
      <c r="A17" s="5" t="s">
        <v>4</v>
      </c>
      <c r="B17" s="37"/>
      <c r="C17" s="45"/>
      <c r="D17" s="45"/>
      <c r="E17" s="45">
        <f>7/7*99/99*13</f>
        <v>13</v>
      </c>
      <c r="F17" s="37"/>
      <c r="G17" s="37"/>
      <c r="H17" s="45">
        <f>SUM(B17:G17)</f>
        <v>13</v>
      </c>
      <c r="I17" s="22"/>
      <c r="J17" s="20"/>
      <c r="K17" s="37"/>
      <c r="L17" s="45"/>
      <c r="M17" s="45"/>
      <c r="N17" s="74"/>
      <c r="O17" s="37"/>
      <c r="P17" s="37"/>
      <c r="Q17" s="38"/>
    </row>
    <row r="18" spans="1:17" s="17" customFormat="1" ht="24">
      <c r="A18" s="10" t="s">
        <v>10</v>
      </c>
      <c r="B18" s="11">
        <f aca="true" t="shared" si="6" ref="B18:H18">SUM(B14:B17)</f>
        <v>9920</v>
      </c>
      <c r="C18" s="11">
        <f t="shared" si="6"/>
        <v>0</v>
      </c>
      <c r="D18" s="11">
        <f t="shared" si="6"/>
        <v>5795.800000000001</v>
      </c>
      <c r="E18" s="11">
        <f t="shared" si="6"/>
        <v>694.2</v>
      </c>
      <c r="F18" s="55">
        <f t="shared" si="6"/>
        <v>70</v>
      </c>
      <c r="G18" s="55">
        <f t="shared" si="6"/>
        <v>1133.9</v>
      </c>
      <c r="H18" s="11">
        <f t="shared" si="6"/>
        <v>17613.9</v>
      </c>
      <c r="I18" s="23"/>
      <c r="J18" s="29"/>
      <c r="K18" s="11">
        <f aca="true" t="shared" si="7" ref="K18:Q18">SUM(K14:K17)</f>
        <v>1250</v>
      </c>
      <c r="L18" s="11">
        <f t="shared" si="7"/>
        <v>0</v>
      </c>
      <c r="M18" s="11">
        <f t="shared" si="7"/>
        <v>0</v>
      </c>
      <c r="N18" s="55">
        <f t="shared" si="7"/>
        <v>0</v>
      </c>
      <c r="O18" s="55">
        <f t="shared" si="7"/>
        <v>0</v>
      </c>
      <c r="P18" s="55">
        <f t="shared" si="7"/>
        <v>0</v>
      </c>
      <c r="Q18" s="12">
        <f t="shared" si="7"/>
        <v>1250</v>
      </c>
    </row>
    <row r="19" spans="1:17" ht="12.75">
      <c r="A19" s="57" t="s">
        <v>5</v>
      </c>
      <c r="B19" s="6">
        <f>100+160</f>
        <v>260</v>
      </c>
      <c r="C19" s="45"/>
      <c r="D19" s="45"/>
      <c r="E19" s="45"/>
      <c r="F19" s="6"/>
      <c r="G19" s="6"/>
      <c r="H19" s="45">
        <f aca="true" t="shared" si="8" ref="H19:H30">SUM(B19:G19)</f>
        <v>260</v>
      </c>
      <c r="I19" s="22"/>
      <c r="J19" s="26"/>
      <c r="K19" s="37"/>
      <c r="L19" s="45"/>
      <c r="M19" s="45"/>
      <c r="N19" s="74"/>
      <c r="O19" s="37"/>
      <c r="P19" s="37"/>
      <c r="Q19" s="38">
        <f aca="true" t="shared" si="9" ref="Q19:Q30">SUM(K19:P19)</f>
        <v>0</v>
      </c>
    </row>
    <row r="20" spans="1:17" ht="12.75">
      <c r="A20" s="57" t="s">
        <v>68</v>
      </c>
      <c r="B20" s="6"/>
      <c r="C20" s="45"/>
      <c r="D20" s="45"/>
      <c r="E20" s="45">
        <f>9/9*250</f>
        <v>250</v>
      </c>
      <c r="F20" s="6"/>
      <c r="G20" s="6"/>
      <c r="H20" s="45">
        <f t="shared" si="8"/>
        <v>250</v>
      </c>
      <c r="I20" s="22"/>
      <c r="J20" s="26"/>
      <c r="K20" s="37"/>
      <c r="L20" s="45"/>
      <c r="M20" s="45"/>
      <c r="N20" s="74"/>
      <c r="O20" s="37"/>
      <c r="P20" s="37"/>
      <c r="Q20" s="38"/>
    </row>
    <row r="21" spans="1:17" ht="12.75">
      <c r="A21" s="5" t="s">
        <v>64</v>
      </c>
      <c r="B21" s="16">
        <f>12*121*(12*20)/1000+1.52</f>
        <v>350</v>
      </c>
      <c r="C21" s="45"/>
      <c r="D21" s="45"/>
      <c r="E21" s="45"/>
      <c r="F21" s="8"/>
      <c r="G21" s="8"/>
      <c r="H21" s="45">
        <f t="shared" si="8"/>
        <v>350</v>
      </c>
      <c r="I21" s="43"/>
      <c r="J21" s="28"/>
      <c r="K21" s="37"/>
      <c r="L21" s="45"/>
      <c r="M21" s="45"/>
      <c r="N21" s="74"/>
      <c r="O21" s="37"/>
      <c r="P21" s="37"/>
      <c r="Q21" s="38">
        <f t="shared" si="9"/>
        <v>0</v>
      </c>
    </row>
    <row r="22" spans="1:17" s="44" customFormat="1" ht="12.75">
      <c r="A22" s="5" t="s">
        <v>6</v>
      </c>
      <c r="B22" s="16">
        <f>2446*1.1+9.4</f>
        <v>2700.0000000000005</v>
      </c>
      <c r="C22" s="45"/>
      <c r="D22" s="45"/>
      <c r="E22" s="45">
        <f>9/9*970+81/81*150</f>
        <v>1120</v>
      </c>
      <c r="F22" s="8"/>
      <c r="G22" s="8"/>
      <c r="H22" s="45">
        <f t="shared" si="8"/>
        <v>3820.0000000000005</v>
      </c>
      <c r="I22" s="41"/>
      <c r="J22" s="28"/>
      <c r="K22" s="54">
        <f>440*1.05+8</f>
        <v>470</v>
      </c>
      <c r="L22" s="45"/>
      <c r="M22" s="45"/>
      <c r="N22" s="74">
        <f>9/9*30</f>
        <v>30</v>
      </c>
      <c r="O22" s="42"/>
      <c r="P22" s="42"/>
      <c r="Q22" s="58">
        <f t="shared" si="9"/>
        <v>500</v>
      </c>
    </row>
    <row r="23" spans="1:17" s="18" customFormat="1" ht="12.75" hidden="1">
      <c r="A23" s="5" t="s">
        <v>44</v>
      </c>
      <c r="B23" s="16"/>
      <c r="C23" s="45"/>
      <c r="D23" s="45"/>
      <c r="E23" s="45"/>
      <c r="F23" s="8"/>
      <c r="G23" s="8"/>
      <c r="H23" s="45">
        <f t="shared" si="8"/>
        <v>0</v>
      </c>
      <c r="I23" s="41"/>
      <c r="J23" s="28"/>
      <c r="K23" s="16"/>
      <c r="L23" s="45"/>
      <c r="M23" s="45"/>
      <c r="N23" s="74"/>
      <c r="O23" s="8"/>
      <c r="P23" s="8"/>
      <c r="Q23" s="9">
        <f t="shared" si="9"/>
        <v>0</v>
      </c>
    </row>
    <row r="24" spans="1:17" s="18" customFormat="1" ht="12.75">
      <c r="A24" s="5" t="s">
        <v>54</v>
      </c>
      <c r="B24" s="37"/>
      <c r="C24" s="45"/>
      <c r="D24" s="45">
        <v>50</v>
      </c>
      <c r="E24" s="45"/>
      <c r="F24" s="8"/>
      <c r="G24" s="8"/>
      <c r="H24" s="45">
        <f t="shared" si="8"/>
        <v>50</v>
      </c>
      <c r="I24" s="41"/>
      <c r="J24" s="28"/>
      <c r="K24" s="16"/>
      <c r="L24" s="45"/>
      <c r="M24" s="45"/>
      <c r="N24" s="74"/>
      <c r="O24" s="8"/>
      <c r="P24" s="8"/>
      <c r="Q24" s="9"/>
    </row>
    <row r="25" spans="1:17" s="18" customFormat="1" ht="12.75">
      <c r="A25" s="66" t="s">
        <v>67</v>
      </c>
      <c r="B25" s="37"/>
      <c r="C25" s="45"/>
      <c r="D25" s="45"/>
      <c r="E25" s="45">
        <f>7/7*44.1</f>
        <v>44.1</v>
      </c>
      <c r="F25" s="8"/>
      <c r="G25" s="8"/>
      <c r="H25" s="45">
        <f t="shared" si="8"/>
        <v>44.1</v>
      </c>
      <c r="I25" s="41"/>
      <c r="J25" s="28"/>
      <c r="K25" s="16"/>
      <c r="L25" s="45"/>
      <c r="M25" s="45"/>
      <c r="N25" s="74"/>
      <c r="O25" s="8"/>
      <c r="P25" s="8"/>
      <c r="Q25" s="9"/>
    </row>
    <row r="26" spans="1:17" ht="12.75">
      <c r="A26" s="5" t="s">
        <v>7</v>
      </c>
      <c r="B26" s="8">
        <v>50</v>
      </c>
      <c r="C26" s="45"/>
      <c r="D26" s="45"/>
      <c r="E26" s="45"/>
      <c r="F26" s="8"/>
      <c r="G26" s="8"/>
      <c r="H26" s="45">
        <f t="shared" si="8"/>
        <v>50</v>
      </c>
      <c r="I26" s="22"/>
      <c r="J26" s="20"/>
      <c r="K26" s="37"/>
      <c r="L26" s="45"/>
      <c r="M26" s="45"/>
      <c r="N26" s="74"/>
      <c r="O26" s="37"/>
      <c r="P26" s="37"/>
      <c r="Q26" s="38">
        <f t="shared" si="9"/>
        <v>0</v>
      </c>
    </row>
    <row r="27" spans="1:17" ht="12.75">
      <c r="A27" s="5" t="s">
        <v>63</v>
      </c>
      <c r="B27" s="37">
        <v>30</v>
      </c>
      <c r="C27" s="45"/>
      <c r="D27" s="45"/>
      <c r="E27" s="45"/>
      <c r="F27" s="37"/>
      <c r="G27" s="37"/>
      <c r="H27" s="45">
        <f t="shared" si="8"/>
        <v>30</v>
      </c>
      <c r="I27" s="22"/>
      <c r="J27" s="20"/>
      <c r="K27" s="37"/>
      <c r="L27" s="45"/>
      <c r="M27" s="45"/>
      <c r="N27" s="74"/>
      <c r="O27" s="37"/>
      <c r="P27" s="37"/>
      <c r="Q27" s="38">
        <f t="shared" si="9"/>
        <v>0</v>
      </c>
    </row>
    <row r="28" spans="1:17" ht="12.75" hidden="1">
      <c r="A28" s="5" t="s">
        <v>8</v>
      </c>
      <c r="B28" s="37"/>
      <c r="C28" s="45"/>
      <c r="D28" s="45"/>
      <c r="E28" s="45"/>
      <c r="F28" s="37"/>
      <c r="G28" s="37"/>
      <c r="H28" s="45">
        <f t="shared" si="8"/>
        <v>0</v>
      </c>
      <c r="I28" s="22"/>
      <c r="J28" s="20"/>
      <c r="K28" s="37"/>
      <c r="L28" s="45"/>
      <c r="M28" s="45"/>
      <c r="N28" s="74"/>
      <c r="O28" s="37"/>
      <c r="P28" s="37"/>
      <c r="Q28" s="38">
        <f t="shared" si="9"/>
        <v>0</v>
      </c>
    </row>
    <row r="29" spans="1:17" ht="24" hidden="1">
      <c r="A29" s="5" t="s">
        <v>48</v>
      </c>
      <c r="B29" s="37"/>
      <c r="C29" s="45"/>
      <c r="D29" s="45"/>
      <c r="E29" s="45"/>
      <c r="F29" s="37"/>
      <c r="G29" s="37"/>
      <c r="H29" s="45">
        <f t="shared" si="8"/>
        <v>0</v>
      </c>
      <c r="I29" s="22"/>
      <c r="J29" s="20"/>
      <c r="K29" s="37"/>
      <c r="L29" s="45"/>
      <c r="M29" s="45"/>
      <c r="N29" s="74"/>
      <c r="O29" s="37"/>
      <c r="P29" s="37"/>
      <c r="Q29" s="38">
        <f t="shared" si="9"/>
        <v>0</v>
      </c>
    </row>
    <row r="30" spans="1:17" ht="12.75">
      <c r="A30" s="5" t="s">
        <v>62</v>
      </c>
      <c r="B30" s="37">
        <f>100+50</f>
        <v>150</v>
      </c>
      <c r="C30" s="45"/>
      <c r="D30" s="45"/>
      <c r="E30" s="45"/>
      <c r="F30" s="37"/>
      <c r="G30" s="37"/>
      <c r="H30" s="45">
        <f t="shared" si="8"/>
        <v>150</v>
      </c>
      <c r="I30" s="22"/>
      <c r="J30" s="20"/>
      <c r="K30" s="37"/>
      <c r="L30" s="45"/>
      <c r="M30" s="45"/>
      <c r="N30" s="74"/>
      <c r="O30" s="37"/>
      <c r="P30" s="37"/>
      <c r="Q30" s="38">
        <f t="shared" si="9"/>
        <v>0</v>
      </c>
    </row>
    <row r="31" spans="1:17" s="17" customFormat="1" ht="24">
      <c r="A31" s="10" t="s">
        <v>9</v>
      </c>
      <c r="B31" s="11">
        <f aca="true" t="shared" si="10" ref="B31:H31">SUM(B19:B30)</f>
        <v>3540.0000000000005</v>
      </c>
      <c r="C31" s="11">
        <f t="shared" si="10"/>
        <v>0</v>
      </c>
      <c r="D31" s="11">
        <f t="shared" si="10"/>
        <v>50</v>
      </c>
      <c r="E31" s="11">
        <f t="shared" si="10"/>
        <v>1414.1</v>
      </c>
      <c r="F31" s="55">
        <f t="shared" si="10"/>
        <v>0</v>
      </c>
      <c r="G31" s="55">
        <f t="shared" si="10"/>
        <v>0</v>
      </c>
      <c r="H31" s="11">
        <f t="shared" si="10"/>
        <v>5004.1</v>
      </c>
      <c r="I31" s="23"/>
      <c r="J31" s="29"/>
      <c r="K31" s="11">
        <f aca="true" t="shared" si="11" ref="K31:Q31">SUM(K19:K30)</f>
        <v>470</v>
      </c>
      <c r="L31" s="11">
        <f t="shared" si="11"/>
        <v>0</v>
      </c>
      <c r="M31" s="11">
        <f t="shared" si="11"/>
        <v>0</v>
      </c>
      <c r="N31" s="55">
        <f t="shared" si="11"/>
        <v>30</v>
      </c>
      <c r="O31" s="55">
        <f t="shared" si="11"/>
        <v>0</v>
      </c>
      <c r="P31" s="55">
        <f t="shared" si="11"/>
        <v>0</v>
      </c>
      <c r="Q31" s="12">
        <f t="shared" si="11"/>
        <v>500</v>
      </c>
    </row>
    <row r="32" spans="1:17" ht="12.75">
      <c r="A32" s="5" t="s">
        <v>11</v>
      </c>
      <c r="B32" s="16">
        <f>860*0+746+3*81-3*35+500-1384+3/3*506+56</f>
        <v>562</v>
      </c>
      <c r="C32" s="45"/>
      <c r="D32" s="45">
        <f>45+10</f>
        <v>55</v>
      </c>
      <c r="E32" s="45"/>
      <c r="F32" s="8"/>
      <c r="G32" s="8">
        <f>16/16*27</f>
        <v>27</v>
      </c>
      <c r="H32" s="45">
        <f aca="true" t="shared" si="12" ref="H32:H37">SUM(B32:G32)</f>
        <v>644</v>
      </c>
      <c r="I32" s="41"/>
      <c r="J32" s="28"/>
      <c r="K32" s="37"/>
      <c r="L32" s="45"/>
      <c r="M32" s="45"/>
      <c r="N32" s="74"/>
      <c r="O32" s="37"/>
      <c r="P32" s="37"/>
      <c r="Q32" s="38">
        <f aca="true" t="shared" si="13" ref="Q32:Q37">SUM(K32:P32)</f>
        <v>0</v>
      </c>
    </row>
    <row r="33" spans="1:17" s="44" customFormat="1" ht="12.75">
      <c r="A33" s="5" t="s">
        <v>12</v>
      </c>
      <c r="B33" s="16">
        <f>1865*0+1804+3*150-54</f>
        <v>2200</v>
      </c>
      <c r="C33" s="45">
        <f>55.8</f>
        <v>55.8</v>
      </c>
      <c r="D33" s="45">
        <f>40-40</f>
        <v>0</v>
      </c>
      <c r="E33" s="45"/>
      <c r="F33" s="8"/>
      <c r="G33" s="8"/>
      <c r="H33" s="45">
        <f t="shared" si="12"/>
        <v>2255.8</v>
      </c>
      <c r="I33" s="41"/>
      <c r="J33" s="28"/>
      <c r="K33" s="45">
        <f>123*1.05-4.15</f>
        <v>125</v>
      </c>
      <c r="L33" s="45"/>
      <c r="M33" s="45"/>
      <c r="N33" s="74"/>
      <c r="O33" s="42"/>
      <c r="P33" s="42">
        <f>16/16*20</f>
        <v>20</v>
      </c>
      <c r="Q33" s="58">
        <f t="shared" si="13"/>
        <v>145</v>
      </c>
    </row>
    <row r="34" spans="1:17" s="46" customFormat="1" ht="12.75">
      <c r="A34" s="5" t="s">
        <v>13</v>
      </c>
      <c r="B34" s="16">
        <f>710*0+(1592-44/44*583)+(5500-2010/2010*1000-2011/2011*3000)-2509+2012/2012*(3/3*(1197-67)+4/4*(1675-1150))</f>
        <v>1655</v>
      </c>
      <c r="C34" s="45"/>
      <c r="D34" s="45">
        <f>90/90*2707.6+15+(1707-404)+50</f>
        <v>4075.6</v>
      </c>
      <c r="E34" s="45"/>
      <c r="F34" s="8"/>
      <c r="G34" s="8"/>
      <c r="H34" s="45">
        <f t="shared" si="12"/>
        <v>5730.6</v>
      </c>
      <c r="I34" s="41"/>
      <c r="J34" s="28"/>
      <c r="K34" s="45"/>
      <c r="L34" s="45"/>
      <c r="M34" s="45"/>
      <c r="N34" s="74"/>
      <c r="O34" s="37"/>
      <c r="P34" s="37"/>
      <c r="Q34" s="38">
        <f t="shared" si="13"/>
        <v>0</v>
      </c>
    </row>
    <row r="35" spans="1:17" s="46" customFormat="1" ht="12.75">
      <c r="A35" s="5" t="s">
        <v>65</v>
      </c>
      <c r="B35" s="16">
        <f>12+16</f>
        <v>28</v>
      </c>
      <c r="C35" s="45"/>
      <c r="D35" s="45"/>
      <c r="E35" s="45"/>
      <c r="F35" s="8"/>
      <c r="G35" s="8"/>
      <c r="H35" s="45">
        <f t="shared" si="12"/>
        <v>28</v>
      </c>
      <c r="I35" s="41"/>
      <c r="J35" s="28"/>
      <c r="K35" s="45"/>
      <c r="L35" s="45"/>
      <c r="M35" s="45"/>
      <c r="N35" s="74"/>
      <c r="O35" s="37"/>
      <c r="P35" s="37"/>
      <c r="Q35" s="38">
        <f t="shared" si="13"/>
        <v>0</v>
      </c>
    </row>
    <row r="36" spans="1:17" s="44" customFormat="1" ht="12.75">
      <c r="A36" s="5" t="s">
        <v>14</v>
      </c>
      <c r="B36" s="37">
        <f>35+60+40+50+150</f>
        <v>335</v>
      </c>
      <c r="C36" s="45"/>
      <c r="D36" s="45">
        <f>-10+45</f>
        <v>35</v>
      </c>
      <c r="E36" s="45"/>
      <c r="F36" s="37"/>
      <c r="G36" s="37"/>
      <c r="H36" s="45">
        <f t="shared" si="12"/>
        <v>370</v>
      </c>
      <c r="I36" s="47"/>
      <c r="J36" s="28"/>
      <c r="K36" s="45">
        <f>100*1.1</f>
        <v>110.00000000000001</v>
      </c>
      <c r="L36" s="45"/>
      <c r="M36" s="45"/>
      <c r="N36" s="74"/>
      <c r="O36" s="42"/>
      <c r="P36" s="42"/>
      <c r="Q36" s="58">
        <f t="shared" si="13"/>
        <v>110.00000000000001</v>
      </c>
    </row>
    <row r="37" spans="1:17" ht="12.75" hidden="1">
      <c r="A37" s="5" t="s">
        <v>47</v>
      </c>
      <c r="B37" s="42"/>
      <c r="C37" s="45"/>
      <c r="D37" s="45"/>
      <c r="E37" s="45"/>
      <c r="F37" s="42"/>
      <c r="G37" s="42"/>
      <c r="H37" s="45">
        <f t="shared" si="12"/>
        <v>0</v>
      </c>
      <c r="I37" s="22"/>
      <c r="J37" s="20"/>
      <c r="K37" s="37"/>
      <c r="L37" s="45"/>
      <c r="M37" s="45"/>
      <c r="N37" s="74"/>
      <c r="O37" s="37"/>
      <c r="P37" s="37"/>
      <c r="Q37" s="38">
        <f t="shared" si="13"/>
        <v>0</v>
      </c>
    </row>
    <row r="38" spans="1:17" ht="12.75" hidden="1">
      <c r="A38" s="5" t="s">
        <v>0</v>
      </c>
      <c r="B38" s="37"/>
      <c r="C38" s="45"/>
      <c r="D38" s="45"/>
      <c r="E38" s="45"/>
      <c r="F38" s="37"/>
      <c r="G38" s="37"/>
      <c r="H38" s="45"/>
      <c r="I38" s="22"/>
      <c r="J38" s="20"/>
      <c r="K38" s="37"/>
      <c r="L38" s="45"/>
      <c r="M38" s="45"/>
      <c r="N38" s="74"/>
      <c r="O38" s="37"/>
      <c r="P38" s="37"/>
      <c r="Q38" s="38"/>
    </row>
    <row r="39" spans="1:17" s="17" customFormat="1" ht="24">
      <c r="A39" s="10" t="s">
        <v>57</v>
      </c>
      <c r="B39" s="11">
        <f aca="true" t="shared" si="14" ref="B39:H39">SUM(B32:B38)</f>
        <v>4780</v>
      </c>
      <c r="C39" s="11">
        <f t="shared" si="14"/>
        <v>55.8</v>
      </c>
      <c r="D39" s="11">
        <f t="shared" si="14"/>
        <v>4165.6</v>
      </c>
      <c r="E39" s="11">
        <f t="shared" si="14"/>
        <v>0</v>
      </c>
      <c r="F39" s="55">
        <f t="shared" si="14"/>
        <v>0</v>
      </c>
      <c r="G39" s="55">
        <f t="shared" si="14"/>
        <v>27</v>
      </c>
      <c r="H39" s="11">
        <f t="shared" si="14"/>
        <v>9028.400000000001</v>
      </c>
      <c r="I39" s="23"/>
      <c r="J39" s="29"/>
      <c r="K39" s="11">
        <f aca="true" t="shared" si="15" ref="K39:Q39">SUM(K32:K38)</f>
        <v>235</v>
      </c>
      <c r="L39" s="11">
        <f t="shared" si="15"/>
        <v>0</v>
      </c>
      <c r="M39" s="11">
        <f t="shared" si="15"/>
        <v>0</v>
      </c>
      <c r="N39" s="55">
        <f t="shared" si="15"/>
        <v>0</v>
      </c>
      <c r="O39" s="55">
        <f t="shared" si="15"/>
        <v>0</v>
      </c>
      <c r="P39" s="55">
        <f t="shared" si="15"/>
        <v>20</v>
      </c>
      <c r="Q39" s="12">
        <f t="shared" si="15"/>
        <v>255</v>
      </c>
    </row>
    <row r="40" spans="1:17" ht="12.75">
      <c r="A40" s="5" t="s">
        <v>15</v>
      </c>
      <c r="B40" s="6">
        <v>350</v>
      </c>
      <c r="C40" s="45"/>
      <c r="D40" s="45"/>
      <c r="E40" s="45">
        <f>7/7*118</f>
        <v>118</v>
      </c>
      <c r="F40" s="6"/>
      <c r="G40" s="6"/>
      <c r="H40" s="45">
        <f>SUM(B40:G40)</f>
        <v>468</v>
      </c>
      <c r="I40" s="22"/>
      <c r="J40" s="20"/>
      <c r="K40" s="37"/>
      <c r="L40" s="45"/>
      <c r="M40" s="45"/>
      <c r="N40" s="74">
        <f>7/7*118</f>
        <v>118</v>
      </c>
      <c r="O40" s="37"/>
      <c r="P40" s="37"/>
      <c r="Q40" s="38">
        <f>SUM(K40:P40)</f>
        <v>118</v>
      </c>
    </row>
    <row r="41" spans="1:17" ht="12.75" hidden="1">
      <c r="A41" s="5"/>
      <c r="B41" s="37"/>
      <c r="C41" s="45"/>
      <c r="D41" s="45"/>
      <c r="E41" s="45"/>
      <c r="F41" s="37"/>
      <c r="G41" s="37"/>
      <c r="H41" s="45"/>
      <c r="I41" s="22"/>
      <c r="J41" s="20"/>
      <c r="K41" s="37"/>
      <c r="L41" s="45"/>
      <c r="M41" s="45"/>
      <c r="N41" s="74"/>
      <c r="O41" s="37"/>
      <c r="P41" s="37"/>
      <c r="Q41" s="38"/>
    </row>
    <row r="42" spans="1:17" s="17" customFormat="1" ht="24">
      <c r="A42" s="10" t="s">
        <v>56</v>
      </c>
      <c r="B42" s="11">
        <f aca="true" t="shared" si="16" ref="B42:H42">SUM(B40:B41)</f>
        <v>350</v>
      </c>
      <c r="C42" s="11">
        <f t="shared" si="16"/>
        <v>0</v>
      </c>
      <c r="D42" s="11">
        <f t="shared" si="16"/>
        <v>0</v>
      </c>
      <c r="E42" s="11">
        <f t="shared" si="16"/>
        <v>118</v>
      </c>
      <c r="F42" s="55">
        <f t="shared" si="16"/>
        <v>0</v>
      </c>
      <c r="G42" s="55">
        <f t="shared" si="16"/>
        <v>0</v>
      </c>
      <c r="H42" s="11">
        <f t="shared" si="16"/>
        <v>468</v>
      </c>
      <c r="I42" s="23"/>
      <c r="J42" s="29"/>
      <c r="K42" s="11">
        <f aca="true" t="shared" si="17" ref="K42:Q42">SUM(K40:K41)</f>
        <v>0</v>
      </c>
      <c r="L42" s="11">
        <f t="shared" si="17"/>
        <v>0</v>
      </c>
      <c r="M42" s="11">
        <f t="shared" si="17"/>
        <v>0</v>
      </c>
      <c r="N42" s="55">
        <f t="shared" si="17"/>
        <v>118</v>
      </c>
      <c r="O42" s="55">
        <f t="shared" si="17"/>
        <v>0</v>
      </c>
      <c r="P42" s="55">
        <f t="shared" si="17"/>
        <v>0</v>
      </c>
      <c r="Q42" s="12">
        <f t="shared" si="17"/>
        <v>118</v>
      </c>
    </row>
    <row r="43" spans="1:17" s="44" customFormat="1" ht="12.75">
      <c r="A43" s="5" t="s">
        <v>17</v>
      </c>
      <c r="B43" s="16">
        <f>(5000-2000-3000)+2012/2012*5000</f>
        <v>5000</v>
      </c>
      <c r="C43" s="45"/>
      <c r="D43" s="45">
        <f>-1668+1548</f>
        <v>-120</v>
      </c>
      <c r="E43" s="45">
        <f>7/7*99/99*2161.1+3200</f>
        <v>5361.1</v>
      </c>
      <c r="F43" s="8"/>
      <c r="G43" s="8">
        <f>16/16*176</f>
        <v>176</v>
      </c>
      <c r="H43" s="45">
        <f>SUM(B43:G43)</f>
        <v>10417.1</v>
      </c>
      <c r="I43" s="40"/>
      <c r="J43" s="28"/>
      <c r="K43" s="16">
        <f>10000*0+(1350*12-16200)*0+(87694-66438)-21256/2+1372</f>
        <v>12000</v>
      </c>
      <c r="L43" s="45"/>
      <c r="M43" s="65">
        <v>-12000</v>
      </c>
      <c r="N43" s="74"/>
      <c r="O43" s="42"/>
      <c r="P43" s="42"/>
      <c r="Q43" s="58">
        <f>SUM(K43:P43)</f>
        <v>0</v>
      </c>
    </row>
    <row r="44" spans="1:17" ht="12.75">
      <c r="A44" s="5" t="s">
        <v>18</v>
      </c>
      <c r="B44" s="16">
        <f>(6000*0+6300)*(1.05*0+1.1*0+1.15)-315*0-630*0+55-1000*0</f>
        <v>7299.999999999999</v>
      </c>
      <c r="C44" s="45"/>
      <c r="D44" s="45">
        <v>120</v>
      </c>
      <c r="E44" s="45">
        <f>9/9*340</f>
        <v>340</v>
      </c>
      <c r="F44" s="8">
        <v>600</v>
      </c>
      <c r="G44" s="8"/>
      <c r="H44" s="45">
        <f>SUM(B44:G44)</f>
        <v>8360</v>
      </c>
      <c r="I44" s="67"/>
      <c r="J44" s="28"/>
      <c r="K44" s="37"/>
      <c r="L44" s="45"/>
      <c r="M44" s="45"/>
      <c r="N44" s="74"/>
      <c r="O44" s="37"/>
      <c r="P44" s="37"/>
      <c r="Q44" s="38">
        <f>SUM(K44:P44)</f>
        <v>0</v>
      </c>
    </row>
    <row r="45" spans="1:17" s="17" customFormat="1" ht="24">
      <c r="A45" s="10" t="s">
        <v>16</v>
      </c>
      <c r="B45" s="11">
        <f aca="true" t="shared" si="18" ref="B45:H45">SUM(B43:B44)</f>
        <v>12300</v>
      </c>
      <c r="C45" s="11">
        <f t="shared" si="18"/>
        <v>0</v>
      </c>
      <c r="D45" s="11">
        <f t="shared" si="18"/>
        <v>0</v>
      </c>
      <c r="E45" s="11">
        <f t="shared" si="18"/>
        <v>5701.1</v>
      </c>
      <c r="F45" s="55">
        <f t="shared" si="18"/>
        <v>600</v>
      </c>
      <c r="G45" s="55">
        <f t="shared" si="18"/>
        <v>176</v>
      </c>
      <c r="H45" s="11">
        <f t="shared" si="18"/>
        <v>18777.1</v>
      </c>
      <c r="I45" s="23"/>
      <c r="J45" s="29"/>
      <c r="K45" s="11">
        <f aca="true" t="shared" si="19" ref="K45:Q45">SUM(K43:K44)</f>
        <v>12000</v>
      </c>
      <c r="L45" s="11">
        <f t="shared" si="19"/>
        <v>0</v>
      </c>
      <c r="M45" s="59">
        <f t="shared" si="19"/>
        <v>-12000</v>
      </c>
      <c r="N45" s="55">
        <f t="shared" si="19"/>
        <v>0</v>
      </c>
      <c r="O45" s="55">
        <f t="shared" si="19"/>
        <v>0</v>
      </c>
      <c r="P45" s="55">
        <f t="shared" si="19"/>
        <v>0</v>
      </c>
      <c r="Q45" s="12">
        <f t="shared" si="19"/>
        <v>0</v>
      </c>
    </row>
    <row r="46" spans="1:17" ht="12.75">
      <c r="A46" s="5" t="s">
        <v>20</v>
      </c>
      <c r="B46" s="16">
        <f>2276*1.025+0.1-2333+175*12*(1.09-0.09)+50+150</f>
        <v>2299.9999999999995</v>
      </c>
      <c r="C46" s="45"/>
      <c r="D46" s="45">
        <f>6+80+2</f>
        <v>88</v>
      </c>
      <c r="E46" s="45"/>
      <c r="F46" s="8"/>
      <c r="G46" s="8"/>
      <c r="H46" s="45">
        <f aca="true" t="shared" si="20" ref="H46:H52">SUM(B46:G46)</f>
        <v>2387.9999999999995</v>
      </c>
      <c r="I46" s="43"/>
      <c r="J46" s="30" t="s">
        <v>31</v>
      </c>
      <c r="K46" s="37">
        <v>100</v>
      </c>
      <c r="L46" s="45"/>
      <c r="M46" s="45"/>
      <c r="N46" s="74"/>
      <c r="O46" s="37"/>
      <c r="P46" s="37"/>
      <c r="Q46" s="38">
        <f aca="true" t="shared" si="21" ref="Q46:Q52">SUM(K46:P46)</f>
        <v>100</v>
      </c>
    </row>
    <row r="47" spans="1:17" s="18" customFormat="1" ht="12.75">
      <c r="A47" s="5" t="s">
        <v>21</v>
      </c>
      <c r="B47" s="48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</f>
        <v>48687.999999999985</v>
      </c>
      <c r="C47" s="45">
        <f>398.5</f>
        <v>398.5</v>
      </c>
      <c r="D47" s="45">
        <f>398.5+120+16/16*(-675+2/2*-193+3/3*(-2354+60)+4/4*(21/21*210+23/23*150+153/153*100+1600/1600*50+54)+10/10*(80+5410/5410*18)+1737*0)</f>
        <v>-1981.5</v>
      </c>
      <c r="E47" s="45">
        <f>7/7*173.5+8/8*418.7+9/9*(81/81*-150+(1000+100)+5169/5169*(3/3*-3000+4/4*-1500)+109/109*160+1600/1600*101+98216/98216*(-174-42.5-15.5)+51-700)</f>
        <v>-3577.8</v>
      </c>
      <c r="F47" s="8"/>
      <c r="G47" s="8">
        <f>11/11*(418.7+(242.7+242.6*0))+16/16*-2056</f>
        <v>-1394.6</v>
      </c>
      <c r="H47" s="45">
        <f t="shared" si="20"/>
        <v>42132.599999999984</v>
      </c>
      <c r="I47" s="72"/>
      <c r="J47" s="33" t="s">
        <v>50</v>
      </c>
      <c r="K47" s="16">
        <f>18478*0+2011/2011*16653*0+2012/2012*(15758+(1250*0+408+842))-K14-K15</f>
        <v>15758</v>
      </c>
      <c r="L47" s="45">
        <f>398.5</f>
        <v>398.5</v>
      </c>
      <c r="M47" s="45">
        <v>398.5</v>
      </c>
      <c r="N47" s="74">
        <f>7/7*(5/5*44.1)+8/8*5/5*418.7+9/9*970</f>
        <v>1432.8</v>
      </c>
      <c r="O47" s="8">
        <v>7.8</v>
      </c>
      <c r="P47" s="8">
        <f>10/10*256+418.7</f>
        <v>674.7</v>
      </c>
      <c r="Q47" s="9">
        <f t="shared" si="21"/>
        <v>18670.3</v>
      </c>
    </row>
    <row r="48" spans="1:17" ht="22.5">
      <c r="A48" s="7" t="s">
        <v>22</v>
      </c>
      <c r="B48" s="8">
        <f>583-62+523+262/2</f>
        <v>1175</v>
      </c>
      <c r="C48" s="45"/>
      <c r="D48" s="45"/>
      <c r="E48" s="45"/>
      <c r="F48" s="8"/>
      <c r="G48" s="8"/>
      <c r="H48" s="45">
        <f t="shared" si="20"/>
        <v>1175</v>
      </c>
      <c r="I48" s="41"/>
      <c r="J48" s="26" t="s">
        <v>30</v>
      </c>
      <c r="K48" s="37"/>
      <c r="L48" s="45"/>
      <c r="M48" s="45"/>
      <c r="N48" s="74"/>
      <c r="O48" s="37"/>
      <c r="P48" s="37"/>
      <c r="Q48" s="38">
        <f t="shared" si="21"/>
        <v>0</v>
      </c>
    </row>
    <row r="49" spans="1:17" s="46" customFormat="1" ht="21.75" customHeight="1">
      <c r="A49" s="5" t="s">
        <v>23</v>
      </c>
      <c r="B49" s="37">
        <f>3113/3113*(5000-3500)+6171/6171*((4000-3612/3612*B43)+2000-2500)+2012/2012*(3000+1000+2000)</f>
        <v>6000</v>
      </c>
      <c r="C49" s="45"/>
      <c r="D49" s="45">
        <f>-2354*0+375+10-428+260</f>
        <v>217</v>
      </c>
      <c r="E49" s="45"/>
      <c r="F49" s="37"/>
      <c r="G49" s="37"/>
      <c r="H49" s="45">
        <f t="shared" si="20"/>
        <v>6217</v>
      </c>
      <c r="I49" s="41"/>
      <c r="J49" s="20" t="s">
        <v>51</v>
      </c>
      <c r="K49" s="37">
        <f>300*0+2012/2012*500</f>
        <v>500</v>
      </c>
      <c r="L49" s="45"/>
      <c r="M49" s="45"/>
      <c r="N49" s="74">
        <f>9/9*50</f>
        <v>50</v>
      </c>
      <c r="O49" s="37"/>
      <c r="P49" s="37">
        <f>16/16*30</f>
        <v>30</v>
      </c>
      <c r="Q49" s="38">
        <f t="shared" si="21"/>
        <v>580</v>
      </c>
    </row>
    <row r="50" spans="1:17" s="46" customFormat="1" ht="12.75">
      <c r="A50" s="5" t="s">
        <v>24</v>
      </c>
      <c r="B50" s="37">
        <v>150</v>
      </c>
      <c r="C50" s="45"/>
      <c r="D50" s="45"/>
      <c r="E50" s="45"/>
      <c r="F50" s="37"/>
      <c r="G50" s="37">
        <f>16/16*285</f>
        <v>285</v>
      </c>
      <c r="H50" s="45">
        <f t="shared" si="20"/>
        <v>435</v>
      </c>
      <c r="I50" s="22"/>
      <c r="J50" s="20" t="s">
        <v>33</v>
      </c>
      <c r="K50" s="37"/>
      <c r="L50" s="45"/>
      <c r="M50" s="45">
        <f>85</f>
        <v>85</v>
      </c>
      <c r="N50" s="74">
        <f>9/9*(1155-85)</f>
        <v>1070</v>
      </c>
      <c r="O50" s="37"/>
      <c r="P50" s="37"/>
      <c r="Q50" s="38">
        <f t="shared" si="21"/>
        <v>1155</v>
      </c>
    </row>
    <row r="51" spans="1:17" s="44" customFormat="1" ht="12.75">
      <c r="A51" s="5" t="s">
        <v>25</v>
      </c>
      <c r="B51" s="37">
        <f>16/16*(509+101)+(77+50)+352+3</f>
        <v>1092</v>
      </c>
      <c r="C51" s="45"/>
      <c r="D51" s="45"/>
      <c r="E51" s="45"/>
      <c r="F51" s="37"/>
      <c r="G51" s="37"/>
      <c r="H51" s="45">
        <f t="shared" si="20"/>
        <v>1092</v>
      </c>
      <c r="I51" s="22"/>
      <c r="J51" s="20" t="s">
        <v>32</v>
      </c>
      <c r="K51" s="45">
        <f>160*0+2012/2012*200</f>
        <v>200</v>
      </c>
      <c r="L51" s="45"/>
      <c r="M51" s="45"/>
      <c r="N51" s="74">
        <f>9/9*20</f>
        <v>20</v>
      </c>
      <c r="O51" s="42">
        <f>50*0+35</f>
        <v>35</v>
      </c>
      <c r="P51" s="37">
        <f>16/16*150</f>
        <v>150</v>
      </c>
      <c r="Q51" s="58">
        <f t="shared" si="21"/>
        <v>405</v>
      </c>
    </row>
    <row r="52" spans="1:17" ht="19.5">
      <c r="A52" s="5" t="s">
        <v>71</v>
      </c>
      <c r="B52" s="42"/>
      <c r="C52" s="45"/>
      <c r="D52" s="45"/>
      <c r="E52" s="45"/>
      <c r="F52" s="42">
        <f>9/9*7.8</f>
        <v>7.8</v>
      </c>
      <c r="G52" s="42">
        <f>10/10*256</f>
        <v>256</v>
      </c>
      <c r="H52" s="45">
        <f t="shared" si="20"/>
        <v>263.8</v>
      </c>
      <c r="I52" s="22"/>
      <c r="J52" s="60" t="s">
        <v>59</v>
      </c>
      <c r="K52" s="37"/>
      <c r="L52" s="45"/>
      <c r="M52" s="45">
        <f>165+165</f>
        <v>330</v>
      </c>
      <c r="N52" s="74">
        <f>9/9*(2322/2322*50+2329/2329*7)</f>
        <v>57</v>
      </c>
      <c r="O52" s="37"/>
      <c r="P52" s="37">
        <f>16/16*10</f>
        <v>10</v>
      </c>
      <c r="Q52" s="58">
        <f t="shared" si="21"/>
        <v>397</v>
      </c>
    </row>
    <row r="53" spans="1:17" s="17" customFormat="1" ht="24">
      <c r="A53" s="10" t="s">
        <v>19</v>
      </c>
      <c r="B53" s="11">
        <f aca="true" t="shared" si="22" ref="B53:H53">SUM(B46:B52)</f>
        <v>59404.999999999985</v>
      </c>
      <c r="C53" s="11">
        <f t="shared" si="22"/>
        <v>398.5</v>
      </c>
      <c r="D53" s="11">
        <f t="shared" si="22"/>
        <v>-1676.5</v>
      </c>
      <c r="E53" s="11">
        <f t="shared" si="22"/>
        <v>-3577.8</v>
      </c>
      <c r="F53" s="55">
        <f t="shared" si="22"/>
        <v>7.8</v>
      </c>
      <c r="G53" s="55">
        <f>SUM(G46:G52)</f>
        <v>-853.5999999999999</v>
      </c>
      <c r="H53" s="11">
        <f t="shared" si="22"/>
        <v>53703.39999999999</v>
      </c>
      <c r="I53" s="23"/>
      <c r="J53" s="29"/>
      <c r="K53" s="11">
        <f aca="true" t="shared" si="23" ref="K53:Q53">SUM(K46:K52)</f>
        <v>16558</v>
      </c>
      <c r="L53" s="11">
        <f t="shared" si="23"/>
        <v>398.5</v>
      </c>
      <c r="M53" s="11">
        <f t="shared" si="23"/>
        <v>813.5</v>
      </c>
      <c r="N53" s="55">
        <f t="shared" si="23"/>
        <v>2629.8</v>
      </c>
      <c r="O53" s="55">
        <f t="shared" si="23"/>
        <v>42.8</v>
      </c>
      <c r="P53" s="55">
        <f t="shared" si="23"/>
        <v>864.7</v>
      </c>
      <c r="Q53" s="12">
        <f t="shared" si="23"/>
        <v>21307.3</v>
      </c>
    </row>
    <row r="54" spans="1:17" s="19" customFormat="1" ht="12.75">
      <c r="A54" s="5"/>
      <c r="B54" s="6"/>
      <c r="C54" s="45"/>
      <c r="D54" s="45"/>
      <c r="E54" s="45"/>
      <c r="F54" s="6"/>
      <c r="G54" s="6"/>
      <c r="H54" s="45"/>
      <c r="I54" s="22"/>
      <c r="J54" s="20" t="s">
        <v>37</v>
      </c>
      <c r="K54" s="49">
        <f>(250+35+520+13+250+1300)+32</f>
        <v>2400</v>
      </c>
      <c r="L54" s="45"/>
      <c r="M54" s="45"/>
      <c r="N54" s="74">
        <f>9/9*-700+(-50-50-150)*(0+11/11)</f>
        <v>-950</v>
      </c>
      <c r="O54" s="50">
        <f>(1343/1343*38+9/9*-50+1345/1345*40+9/9*-50+1351/1351*9/9*-150+172)</f>
        <v>0</v>
      </c>
      <c r="P54" s="50">
        <f>16/16*43/43*75+45/45*60</f>
        <v>135</v>
      </c>
      <c r="Q54" s="34">
        <f aca="true" t="shared" si="24" ref="Q54:Q59">SUM(K54:P54)</f>
        <v>1585</v>
      </c>
    </row>
    <row r="55" spans="1:17" s="19" customFormat="1" ht="12.75">
      <c r="A55" s="5"/>
      <c r="B55" s="50"/>
      <c r="C55" s="45"/>
      <c r="D55" s="45"/>
      <c r="E55" s="45"/>
      <c r="F55" s="50"/>
      <c r="G55" s="50"/>
      <c r="H55" s="45"/>
      <c r="I55" s="22"/>
      <c r="J55" s="20" t="s">
        <v>36</v>
      </c>
      <c r="K55" s="37">
        <f>2700*1.035+5.5</f>
        <v>2800</v>
      </c>
      <c r="L55" s="45"/>
      <c r="M55" s="45"/>
      <c r="N55" s="74">
        <f>-666.7*(0+9/9)*0+(-1247)*(0+11/11)</f>
        <v>-1247</v>
      </c>
      <c r="O55" s="37">
        <f>(485+1361/1361*150+9/9*-(1247-666.7)-54.7)+485+1361/1361*150</f>
        <v>635</v>
      </c>
      <c r="P55" s="37">
        <f>16/16*(110-511/511*485)</f>
        <v>-375</v>
      </c>
      <c r="Q55" s="38">
        <f t="shared" si="24"/>
        <v>1813</v>
      </c>
    </row>
    <row r="56" spans="1:17" ht="12.75">
      <c r="A56" s="5"/>
      <c r="B56" s="37"/>
      <c r="C56" s="45"/>
      <c r="D56" s="45"/>
      <c r="E56" s="45"/>
      <c r="F56" s="37"/>
      <c r="G56" s="37"/>
      <c r="H56" s="45"/>
      <c r="I56" s="22"/>
      <c r="J56" s="20" t="s">
        <v>35</v>
      </c>
      <c r="K56" s="37">
        <f>5000*0+9200*0+2012/2012*8700</f>
        <v>8700</v>
      </c>
      <c r="L56" s="45"/>
      <c r="M56" s="45"/>
      <c r="N56" s="74"/>
      <c r="O56" s="37"/>
      <c r="P56" s="37"/>
      <c r="Q56" s="38">
        <f t="shared" si="24"/>
        <v>8700</v>
      </c>
    </row>
    <row r="57" spans="1:17" s="18" customFormat="1" ht="12.75">
      <c r="A57" s="5"/>
      <c r="B57" s="37"/>
      <c r="C57" s="45"/>
      <c r="D57" s="45"/>
      <c r="E57" s="45"/>
      <c r="F57" s="37"/>
      <c r="G57" s="37"/>
      <c r="H57" s="45"/>
      <c r="I57" s="22"/>
      <c r="J57" s="20" t="s">
        <v>55</v>
      </c>
      <c r="K57" s="16">
        <f>8408*3.728472883*0+31120*0+2012/2012*(38243.68+0.32)</f>
        <v>38244</v>
      </c>
      <c r="L57" s="45">
        <f>2/2*4200+55.8</f>
        <v>4255.8</v>
      </c>
      <c r="M57" s="45">
        <f>(120+50+439.6+(212.1+282+50.1)+4000+398.5*0)+128</f>
        <v>5281.8</v>
      </c>
      <c r="N57" s="74">
        <f>7/7*7/7*((3111/3111*(106.1*2+4000)*0+3113/3113*(72.2+141.1*2*0)+3141/3141*25.1*0)+9/9*173.5)</f>
        <v>245.7</v>
      </c>
      <c r="O57" s="8"/>
      <c r="P57" s="8">
        <f>11/11*(242.7+242.6)+12/12*166.3</f>
        <v>651.5999999999999</v>
      </c>
      <c r="Q57" s="9">
        <f t="shared" si="24"/>
        <v>48678.9</v>
      </c>
    </row>
    <row r="58" spans="1:17" ht="12.75">
      <c r="A58" s="5"/>
      <c r="B58" s="8"/>
      <c r="C58" s="45"/>
      <c r="D58" s="45"/>
      <c r="E58" s="45"/>
      <c r="F58" s="8"/>
      <c r="G58" s="8"/>
      <c r="H58" s="45"/>
      <c r="I58" s="22"/>
      <c r="J58" s="20" t="s">
        <v>53</v>
      </c>
      <c r="K58" s="37"/>
      <c r="L58" s="45"/>
      <c r="M58" s="45"/>
      <c r="N58" s="74">
        <f>7/7*3507.1</f>
        <v>3507.1</v>
      </c>
      <c r="O58" s="37"/>
      <c r="P58" s="37"/>
      <c r="Q58" s="38">
        <f t="shared" si="24"/>
        <v>3507.1</v>
      </c>
    </row>
    <row r="59" spans="1:17" s="18" customFormat="1" ht="12.75">
      <c r="A59" s="5"/>
      <c r="B59" s="37"/>
      <c r="C59" s="45"/>
      <c r="D59" s="45"/>
      <c r="E59" s="45"/>
      <c r="F59" s="37"/>
      <c r="G59" s="37"/>
      <c r="H59" s="45"/>
      <c r="I59" s="22"/>
      <c r="J59" s="20" t="s">
        <v>34</v>
      </c>
      <c r="K59" s="16">
        <f>3000*0+21256/2*2-K43-9256*0+3000-12256+2012/2012*(3612/3612*5000+3688)</f>
        <v>8688</v>
      </c>
      <c r="L59" s="45"/>
      <c r="M59" s="45">
        <f>12000</f>
        <v>12000</v>
      </c>
      <c r="N59" s="74"/>
      <c r="O59" s="8"/>
      <c r="P59" s="8"/>
      <c r="Q59" s="9">
        <f t="shared" si="24"/>
        <v>20688</v>
      </c>
    </row>
    <row r="60" spans="1:17" s="18" customFormat="1" ht="12.75">
      <c r="A60" s="5"/>
      <c r="B60" s="8"/>
      <c r="C60" s="45"/>
      <c r="D60" s="45"/>
      <c r="E60" s="45"/>
      <c r="F60" s="8"/>
      <c r="G60" s="8"/>
      <c r="H60" s="45"/>
      <c r="I60" s="22"/>
      <c r="J60" s="31" t="s">
        <v>61</v>
      </c>
      <c r="K60" s="37"/>
      <c r="L60" s="45"/>
      <c r="M60" s="45"/>
      <c r="N60" s="78">
        <f>-47.1*0-830.3*(0+9/9)*0</f>
        <v>0</v>
      </c>
      <c r="O60" s="78">
        <f>-47.1*0-830.3*(0+9/9*0-10/10)*(0-11/11*0)</f>
        <v>0</v>
      </c>
      <c r="P60" s="78">
        <f>-47.1*0-830.3*(0+9/9*0-10/10)*(0-11/11*0)+11/11*178.3</f>
        <v>178.3</v>
      </c>
      <c r="Q60" s="9">
        <f>SUM(K60:P60)+N60-830.3</f>
        <v>-652</v>
      </c>
    </row>
    <row r="61" spans="1:17" s="17" customFormat="1" ht="24">
      <c r="A61" s="10" t="s">
        <v>26</v>
      </c>
      <c r="B61" s="11">
        <f aca="true" t="shared" si="25" ref="B61:H61">SUM(B54:B60)</f>
        <v>0</v>
      </c>
      <c r="C61" s="11">
        <f t="shared" si="25"/>
        <v>0</v>
      </c>
      <c r="D61" s="11">
        <f t="shared" si="25"/>
        <v>0</v>
      </c>
      <c r="E61" s="11">
        <f t="shared" si="25"/>
        <v>0</v>
      </c>
      <c r="F61" s="55">
        <f t="shared" si="25"/>
        <v>0</v>
      </c>
      <c r="G61" s="55">
        <f t="shared" si="25"/>
        <v>0</v>
      </c>
      <c r="H61" s="11">
        <f t="shared" si="25"/>
        <v>0</v>
      </c>
      <c r="I61" s="23"/>
      <c r="J61" s="20"/>
      <c r="K61" s="11">
        <f aca="true" t="shared" si="26" ref="K61:Q61">SUM(K54:K60)</f>
        <v>60832</v>
      </c>
      <c r="L61" s="11">
        <f t="shared" si="26"/>
        <v>4255.8</v>
      </c>
      <c r="M61" s="11">
        <f t="shared" si="26"/>
        <v>17281.8</v>
      </c>
      <c r="N61" s="55">
        <f t="shared" si="26"/>
        <v>1555.8</v>
      </c>
      <c r="O61" s="55">
        <f t="shared" si="26"/>
        <v>635</v>
      </c>
      <c r="P61" s="55">
        <f t="shared" si="26"/>
        <v>589.8999999999999</v>
      </c>
      <c r="Q61" s="12">
        <f t="shared" si="26"/>
        <v>84320</v>
      </c>
    </row>
    <row r="62" spans="1:17" ht="1.5" customHeight="1">
      <c r="A62" s="5"/>
      <c r="B62" s="6"/>
      <c r="C62" s="45"/>
      <c r="D62" s="45"/>
      <c r="E62" s="45"/>
      <c r="F62" s="6"/>
      <c r="G62" s="6"/>
      <c r="H62" s="45"/>
      <c r="I62" s="22"/>
      <c r="J62" s="20"/>
      <c r="K62" s="37"/>
      <c r="L62" s="45"/>
      <c r="M62" s="45"/>
      <c r="N62" s="74"/>
      <c r="O62" s="37"/>
      <c r="P62" s="37"/>
      <c r="Q62" s="38"/>
    </row>
    <row r="63" spans="1:17" s="17" customFormat="1" ht="13.5" thickBot="1">
      <c r="A63" s="13" t="s">
        <v>27</v>
      </c>
      <c r="B63" s="14">
        <f aca="true" t="shared" si="27" ref="B63:H63">SUM(B3:B62)/2</f>
        <v>91344.99999999999</v>
      </c>
      <c r="C63" s="14">
        <f t="shared" si="27"/>
        <v>4654.299999999999</v>
      </c>
      <c r="D63" s="14">
        <f t="shared" si="27"/>
        <v>8802.900000000001</v>
      </c>
      <c r="E63" s="14">
        <f t="shared" si="27"/>
        <v>4333.6</v>
      </c>
      <c r="F63" s="56">
        <f t="shared" si="27"/>
        <v>677.8</v>
      </c>
      <c r="G63" s="56">
        <f t="shared" si="27"/>
        <v>1296.3000000000002</v>
      </c>
      <c r="H63" s="14">
        <f t="shared" si="27"/>
        <v>111109.9</v>
      </c>
      <c r="I63" s="61"/>
      <c r="J63" s="51"/>
      <c r="K63" s="14">
        <f aca="true" t="shared" si="28" ref="K63:Q63">SUM(K3:K62)/2</f>
        <v>91345</v>
      </c>
      <c r="L63" s="14">
        <f t="shared" si="28"/>
        <v>4654.3</v>
      </c>
      <c r="M63" s="14">
        <f t="shared" si="28"/>
        <v>6095.299999999999</v>
      </c>
      <c r="N63" s="56">
        <f t="shared" si="28"/>
        <v>4333.599999999999</v>
      </c>
      <c r="O63" s="56">
        <f t="shared" si="28"/>
        <v>677.8</v>
      </c>
      <c r="P63" s="56">
        <f t="shared" si="28"/>
        <v>1474.6</v>
      </c>
      <c r="Q63" s="15">
        <f t="shared" si="28"/>
        <v>107750.3</v>
      </c>
    </row>
    <row r="64" spans="1:17" ht="13.5" thickTop="1">
      <c r="A64"/>
      <c r="B64"/>
      <c r="C64"/>
      <c r="D64"/>
      <c r="E64" s="73"/>
      <c r="F64"/>
      <c r="G64"/>
      <c r="H64"/>
      <c r="I64"/>
      <c r="J64"/>
      <c r="K64"/>
      <c r="L64"/>
      <c r="M64" s="77"/>
      <c r="N64" s="75"/>
      <c r="O64"/>
      <c r="P64"/>
      <c r="Q64" s="77"/>
    </row>
    <row r="65" spans="1:17" ht="12.75">
      <c r="A65"/>
      <c r="B65"/>
      <c r="C65"/>
      <c r="D65"/>
      <c r="E65" s="79"/>
      <c r="F65"/>
      <c r="G65"/>
      <c r="H65"/>
      <c r="I65"/>
      <c r="J65"/>
      <c r="K65"/>
      <c r="L65"/>
      <c r="M65"/>
      <c r="N65" s="79"/>
      <c r="O65"/>
      <c r="P65"/>
      <c r="Q65"/>
    </row>
    <row r="66" spans="1:17" ht="12.75">
      <c r="A66"/>
      <c r="B66"/>
      <c r="C66"/>
      <c r="D66"/>
      <c r="E66" s="79"/>
      <c r="F66"/>
      <c r="G66"/>
      <c r="H66"/>
      <c r="I66"/>
      <c r="J66"/>
      <c r="K66"/>
      <c r="L66"/>
      <c r="M66"/>
      <c r="N66" s="79"/>
      <c r="O66"/>
      <c r="P66" s="82" t="s">
        <v>77</v>
      </c>
      <c r="Q66" s="81">
        <f>Q63-H63</f>
        <v>-3359.5999999999913</v>
      </c>
    </row>
    <row r="67" spans="1:17" ht="12.75">
      <c r="A67"/>
      <c r="B67"/>
      <c r="C67"/>
      <c r="D67"/>
      <c r="E67" s="79"/>
      <c r="F67"/>
      <c r="G67"/>
      <c r="H67"/>
      <c r="I67"/>
      <c r="J67"/>
      <c r="K67"/>
      <c r="L67"/>
      <c r="M67"/>
      <c r="N67" s="79"/>
      <c r="O67"/>
      <c r="P67"/>
      <c r="Q67"/>
    </row>
    <row r="68" spans="1:17" ht="12.75">
      <c r="A68"/>
      <c r="B68"/>
      <c r="C68"/>
      <c r="D68"/>
      <c r="E68" s="73"/>
      <c r="F68"/>
      <c r="G68"/>
      <c r="H68"/>
      <c r="I68"/>
      <c r="J68"/>
      <c r="K68"/>
      <c r="L68"/>
      <c r="M68"/>
      <c r="N68" s="80"/>
      <c r="O68"/>
      <c r="P68" s="82" t="s">
        <v>76</v>
      </c>
      <c r="Q68" s="81">
        <v>2707.6</v>
      </c>
    </row>
    <row r="69" spans="1:17" ht="12.75">
      <c r="A69"/>
      <c r="B69"/>
      <c r="C69"/>
      <c r="D69"/>
      <c r="E69" s="73"/>
      <c r="F69"/>
      <c r="G69"/>
      <c r="H69"/>
      <c r="I69"/>
      <c r="J69"/>
      <c r="K69"/>
      <c r="L69"/>
      <c r="M69"/>
      <c r="N69" s="75"/>
      <c r="O69"/>
      <c r="P69" s="82" t="s">
        <v>75</v>
      </c>
      <c r="Q69">
        <f>830.3-178.3</f>
        <v>652</v>
      </c>
    </row>
    <row r="70" spans="1:17" ht="12.75">
      <c r="A70"/>
      <c r="B70"/>
      <c r="C70"/>
      <c r="D70"/>
      <c r="E70" s="73"/>
      <c r="F70"/>
      <c r="G70"/>
      <c r="H70"/>
      <c r="I70"/>
      <c r="J70"/>
      <c r="K70"/>
      <c r="L70"/>
      <c r="M70"/>
      <c r="N70" s="75"/>
      <c r="O70"/>
      <c r="P70" s="82" t="s">
        <v>77</v>
      </c>
      <c r="Q70" s="81">
        <f>Q68+Q69</f>
        <v>3359.6</v>
      </c>
    </row>
    <row r="71" spans="1:17" ht="12.75">
      <c r="A71"/>
      <c r="B71"/>
      <c r="C71"/>
      <c r="D71"/>
      <c r="E71" s="73"/>
      <c r="F71"/>
      <c r="G71"/>
      <c r="H71"/>
      <c r="I71"/>
      <c r="J71"/>
      <c r="K71"/>
      <c r="L71"/>
      <c r="M71"/>
      <c r="N71" s="75"/>
      <c r="O71"/>
      <c r="P71"/>
      <c r="Q71"/>
    </row>
    <row r="72" spans="1:17" ht="12.75">
      <c r="A72"/>
      <c r="B72"/>
      <c r="C72"/>
      <c r="D72"/>
      <c r="E72" s="73"/>
      <c r="F72"/>
      <c r="G72"/>
      <c r="H72"/>
      <c r="I72"/>
      <c r="J72"/>
      <c r="K72"/>
      <c r="L72"/>
      <c r="M72"/>
      <c r="N72" s="75"/>
      <c r="O72"/>
      <c r="P72"/>
      <c r="Q72"/>
    </row>
    <row r="73" spans="1:17" ht="60" customHeight="1">
      <c r="A73" s="88" t="s">
        <v>78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</sheetData>
  <sheetProtection password="CC4F" sheet="1" objects="1" scenarios="1"/>
  <mergeCells count="3">
    <mergeCell ref="B1:H1"/>
    <mergeCell ref="K1:Q1"/>
    <mergeCell ref="A73:Q73"/>
  </mergeCells>
  <printOptions gridLines="1"/>
  <pageMargins left="0.5905511811023623" right="0" top="0.984251968503937" bottom="0.4724409448818898" header="0.5118110236220472" footer="0.31496062992125984"/>
  <pageSetup horizontalDpi="600" verticalDpi="600" orientation="landscape" paperSize="9" scale="80" r:id="rId1"/>
  <headerFooter alignWithMargins="0">
    <oddHeader>&amp;L&amp;"Arial,tučné kurzíva"&amp;14Úprava rozpočtu na rok 2012&amp;R&amp;"Arial,tučné kurzíva"ZMČ 17.12.2012 příl  2</oddHeader>
    <oddFooter>&amp;L&amp;F&amp;R&amp;P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2013-01-15T19:36:06Z</cp:lastPrinted>
  <dcterms:created xsi:type="dcterms:W3CDTF">2009-11-29T19:02:18Z</dcterms:created>
  <dcterms:modified xsi:type="dcterms:W3CDTF">2013-01-15T19:36:50Z</dcterms:modified>
  <cp:category/>
  <cp:version/>
  <cp:contentType/>
  <cp:contentStatus/>
</cp:coreProperties>
</file>