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3080" windowHeight="5820" activeTab="0"/>
  </bookViews>
  <sheets>
    <sheet name="List2" sheetId="1" r:id="rId1"/>
  </sheets>
  <definedNames>
    <definedName name="_xlnm.Print_Titles" localSheetId="0">'List2'!$2:$3</definedName>
  </definedNames>
  <calcPr fullCalcOnLoad="1"/>
</workbook>
</file>

<file path=xl/comments1.xml><?xml version="1.0" encoding="utf-8"?>
<comments xmlns="http://schemas.openxmlformats.org/spreadsheetml/2006/main">
  <authors>
    <author>Marta</author>
  </authors>
  <commentList>
    <comment ref="K25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<sst xmlns="http://schemas.openxmlformats.org/spreadsheetml/2006/main" count="301" uniqueCount="213">
  <si>
    <t>2 0 0 7</t>
  </si>
  <si>
    <t>rozvoj obce</t>
  </si>
  <si>
    <t>vodovod K Lázním</t>
  </si>
  <si>
    <t>sběrný dvůr</t>
  </si>
  <si>
    <r>
      <t xml:space="preserve">revit.poz. TS </t>
    </r>
    <r>
      <rPr>
        <i/>
        <sz val="7"/>
        <rFont val="Arial CE"/>
        <family val="2"/>
      </rPr>
      <t xml:space="preserve">4169, </t>
    </r>
    <r>
      <rPr>
        <i/>
        <sz val="7"/>
        <color indexed="12"/>
        <rFont val="Arial CE"/>
        <family val="2"/>
      </rPr>
      <t>4516</t>
    </r>
  </si>
  <si>
    <t>dětská hřiště</t>
  </si>
  <si>
    <t>infrastr</t>
  </si>
  <si>
    <t>komunikace</t>
  </si>
  <si>
    <t>Radk-Stráž</t>
  </si>
  <si>
    <t>Safír</t>
  </si>
  <si>
    <t>výkup pozemků</t>
  </si>
  <si>
    <t>vodní hosp.</t>
  </si>
  <si>
    <t>školství</t>
  </si>
  <si>
    <t>Mateřská škola</t>
  </si>
  <si>
    <r>
      <t xml:space="preserve">Základní škola </t>
    </r>
    <r>
      <rPr>
        <sz val="7"/>
        <rFont val="Arial CE"/>
        <family val="2"/>
      </rPr>
      <t>UR vč +30 z 2006</t>
    </r>
  </si>
  <si>
    <t>Školní jídelna</t>
  </si>
  <si>
    <t>Gymnasium</t>
  </si>
  <si>
    <t>ZUŠ</t>
  </si>
  <si>
    <t>soc-zdrav</t>
  </si>
  <si>
    <r>
      <t>LSPP</t>
    </r>
    <r>
      <rPr>
        <sz val="7"/>
        <color indexed="12"/>
        <rFont val="Arial CE"/>
        <family val="2"/>
      </rPr>
      <t xml:space="preserve"> z přeplatků</t>
    </r>
  </si>
  <si>
    <t>prevence</t>
  </si>
  <si>
    <t>4174-99</t>
  </si>
  <si>
    <t>dávky soc. péče</t>
  </si>
  <si>
    <t>příspěvek na péči</t>
  </si>
  <si>
    <r>
      <t xml:space="preserve"> 4351/1    </t>
    </r>
    <r>
      <rPr>
        <sz val="7"/>
        <rFont val="Arial CE"/>
        <family val="2"/>
      </rPr>
      <t>4312</t>
    </r>
  </si>
  <si>
    <t>dům s peč.sl</t>
  </si>
  <si>
    <r>
      <t xml:space="preserve"> 4351/2    </t>
    </r>
    <r>
      <rPr>
        <sz val="7"/>
        <rFont val="Arial CE"/>
        <family val="2"/>
      </rPr>
      <t xml:space="preserve"> 4312/1</t>
    </r>
  </si>
  <si>
    <t xml:space="preserve">nový dům s peč. sl </t>
  </si>
  <si>
    <r>
      <t xml:space="preserve"> 4351/3     </t>
    </r>
    <r>
      <rPr>
        <sz val="7"/>
        <rFont val="Arial CE"/>
        <family val="2"/>
      </rPr>
      <t>43122/2</t>
    </r>
  </si>
  <si>
    <t>strav. zařízení</t>
  </si>
  <si>
    <r>
      <t xml:space="preserve">  4351     </t>
    </r>
    <r>
      <rPr>
        <sz val="7"/>
        <rFont val="Arial CE"/>
        <family val="2"/>
      </rPr>
      <t>4314</t>
    </r>
  </si>
  <si>
    <t>peč. služba</t>
  </si>
  <si>
    <t>péče</t>
  </si>
  <si>
    <t>jen 4329</t>
  </si>
  <si>
    <r>
      <t>4375</t>
    </r>
    <r>
      <rPr>
        <sz val="8"/>
        <rFont val="Arial CE"/>
        <family val="2"/>
      </rPr>
      <t xml:space="preserve">     4329  .</t>
    </r>
  </si>
  <si>
    <t>péče o mládež LDT</t>
  </si>
  <si>
    <r>
      <t xml:space="preserve">   4375      </t>
    </r>
    <r>
      <rPr>
        <strike/>
        <sz val="7"/>
        <rFont val="Arial CE"/>
        <family val="2"/>
      </rPr>
      <t>4329</t>
    </r>
  </si>
  <si>
    <t>klub</t>
  </si>
  <si>
    <t>klub VIA</t>
  </si>
  <si>
    <t xml:space="preserve"> </t>
  </si>
  <si>
    <r>
      <t xml:space="preserve">péče o důchodce </t>
    </r>
    <r>
      <rPr>
        <sz val="7"/>
        <rFont val="Arial CE"/>
        <family val="2"/>
      </rPr>
      <t>balíčky atd</t>
    </r>
  </si>
  <si>
    <r>
      <t xml:space="preserve">    3539    </t>
    </r>
    <r>
      <rPr>
        <strike/>
        <sz val="8"/>
        <rFont val="Arial CE"/>
        <family val="2"/>
      </rPr>
      <t>4322</t>
    </r>
  </si>
  <si>
    <t>jesle</t>
  </si>
  <si>
    <t>kultura</t>
  </si>
  <si>
    <t>kino</t>
  </si>
  <si>
    <t>knihovna</t>
  </si>
  <si>
    <r>
      <t xml:space="preserve">3319 </t>
    </r>
    <r>
      <rPr>
        <strike/>
        <sz val="6"/>
        <rFont val="Arial CE"/>
        <family val="2"/>
      </rPr>
      <t>3314</t>
    </r>
  </si>
  <si>
    <t>org 715 kronika</t>
  </si>
  <si>
    <t>vč. posv. 8.000</t>
  </si>
  <si>
    <t>kult.střed</t>
  </si>
  <si>
    <t>vč. z (9) 2.200</t>
  </si>
  <si>
    <t>hřiště</t>
  </si>
  <si>
    <t>bezpečnost</t>
  </si>
  <si>
    <t>JSDH</t>
  </si>
  <si>
    <t>JSDH účel</t>
  </si>
  <si>
    <t>hospodářství</t>
  </si>
  <si>
    <t>Domovní správa</t>
  </si>
  <si>
    <t>Techn. služby</t>
  </si>
  <si>
    <t xml:space="preserve"> TS objekt, služby</t>
  </si>
  <si>
    <t>hřbit.popl ÚMČ</t>
  </si>
  <si>
    <t>správa</t>
  </si>
  <si>
    <t>ZMČ</t>
  </si>
  <si>
    <t>ÚMČ</t>
  </si>
  <si>
    <t>ZMČ vč.posv 4.163,50</t>
  </si>
  <si>
    <t>mzdy st.správy</t>
  </si>
  <si>
    <t>Noviny P 16</t>
  </si>
  <si>
    <t>soc. právní ochrana dětí</t>
  </si>
  <si>
    <t>sociální služby</t>
  </si>
  <si>
    <r>
      <t xml:space="preserve">SFZ </t>
    </r>
    <r>
      <rPr>
        <sz val="7"/>
        <rFont val="Arial CE"/>
        <family val="2"/>
      </rPr>
      <t>tvorba 3%</t>
    </r>
  </si>
  <si>
    <t>čp. 21</t>
  </si>
  <si>
    <t>čp. 23</t>
  </si>
  <si>
    <t>čp. 732</t>
  </si>
  <si>
    <t>čp. 1379</t>
  </si>
  <si>
    <t>čp. 1062,1368,2105,NZZ</t>
  </si>
  <si>
    <t xml:space="preserve"> V Ý D A J E</t>
  </si>
  <si>
    <t>Účelové prostředky poskytnuté státem nebo HMP:</t>
  </si>
  <si>
    <t xml:space="preserve"> 00090</t>
  </si>
  <si>
    <t xml:space="preserve"> 02/ 3745</t>
  </si>
  <si>
    <r>
      <t xml:space="preserve">revit.poz. TS </t>
    </r>
    <r>
      <rPr>
        <i/>
        <sz val="8"/>
        <rFont val="Arial CE"/>
        <family val="2"/>
      </rPr>
      <t>4169</t>
    </r>
  </si>
  <si>
    <t xml:space="preserve"> 00084</t>
  </si>
  <si>
    <r>
      <t xml:space="preserve">revit.poz. TS </t>
    </r>
    <r>
      <rPr>
        <i/>
        <sz val="8"/>
        <rFont val="Arial CE"/>
        <family val="2"/>
      </rPr>
      <t>4516</t>
    </r>
  </si>
  <si>
    <t xml:space="preserve"> 02/ 3421</t>
  </si>
  <si>
    <t>dětská hřiště 8846,8887</t>
  </si>
  <si>
    <t xml:space="preserve"> 03/ 2212</t>
  </si>
  <si>
    <r>
      <t xml:space="preserve">Radk-Stráž </t>
    </r>
    <r>
      <rPr>
        <i/>
        <sz val="8"/>
        <rFont val="Arial CE"/>
        <family val="2"/>
      </rPr>
      <t>8415</t>
    </r>
  </si>
  <si>
    <t xml:space="preserve"> 06/ 3412</t>
  </si>
  <si>
    <t>hřiště 8829</t>
  </si>
  <si>
    <t xml:space="preserve"> 07/ 5512</t>
  </si>
  <si>
    <t>JSDH účel 8895</t>
  </si>
  <si>
    <r>
      <t xml:space="preserve"> 000</t>
    </r>
    <r>
      <rPr>
        <b/>
        <sz val="8"/>
        <color indexed="12"/>
        <rFont val="Arial CE"/>
        <family val="2"/>
      </rPr>
      <t>93</t>
    </r>
  </si>
  <si>
    <t xml:space="preserve"> 02/ 2310</t>
  </si>
  <si>
    <t xml:space="preserve"> 00081</t>
  </si>
  <si>
    <t xml:space="preserve"> 02/ 3722</t>
  </si>
  <si>
    <t xml:space="preserve"> 05/ 3541</t>
  </si>
  <si>
    <t xml:space="preserve"> 13306</t>
  </si>
  <si>
    <t xml:space="preserve"> 13235</t>
  </si>
  <si>
    <t xml:space="preserve"> 04/ 3113</t>
  </si>
  <si>
    <t>Základní škola</t>
  </si>
  <si>
    <t xml:space="preserve"> 98216</t>
  </si>
  <si>
    <t>agenda soc. právní ochrana dětí</t>
  </si>
  <si>
    <t xml:space="preserve"> 98116</t>
  </si>
  <si>
    <t>agenda soc. služeb</t>
  </si>
  <si>
    <r>
      <t xml:space="preserve">Základní škola </t>
    </r>
    <r>
      <rPr>
        <i/>
        <sz val="8"/>
        <rFont val="Arial CE"/>
        <family val="2"/>
      </rPr>
      <t xml:space="preserve">7599 </t>
    </r>
    <r>
      <rPr>
        <sz val="8"/>
        <rFont val="Arial CE"/>
        <family val="2"/>
      </rPr>
      <t>statika, …</t>
    </r>
  </si>
  <si>
    <t xml:space="preserve"> 04/ 3111</t>
  </si>
  <si>
    <r>
      <t xml:space="preserve">Mateřská škola </t>
    </r>
    <r>
      <rPr>
        <i/>
        <sz val="8"/>
        <rFont val="Arial CE"/>
        <family val="2"/>
      </rPr>
      <t xml:space="preserve">8425 </t>
    </r>
    <r>
      <rPr>
        <sz val="8"/>
        <rFont val="Arial CE"/>
        <family val="2"/>
      </rPr>
      <t>okna,termovent</t>
    </r>
  </si>
  <si>
    <t xml:space="preserve"> 05/ 3513</t>
  </si>
  <si>
    <t>LSPP provoz</t>
  </si>
  <si>
    <t xml:space="preserve"> 06/ 3314</t>
  </si>
  <si>
    <t>Knihovna knihy</t>
  </si>
  <si>
    <t>Skate park 4387</t>
  </si>
  <si>
    <t>Sport.hala 8233</t>
  </si>
  <si>
    <t xml:space="preserve"> 02/3421</t>
  </si>
  <si>
    <t>DDH vybavení</t>
  </si>
  <si>
    <r>
      <t xml:space="preserve">DDH vybudování </t>
    </r>
    <r>
      <rPr>
        <i/>
        <sz val="8"/>
        <rFont val="Arial CE"/>
        <family val="2"/>
      </rPr>
      <t>4491</t>
    </r>
  </si>
  <si>
    <r>
      <t xml:space="preserve">DDH vybudování </t>
    </r>
    <r>
      <rPr>
        <i/>
        <sz val="8"/>
        <rFont val="Arial CE"/>
        <family val="2"/>
      </rPr>
      <t>4635</t>
    </r>
  </si>
  <si>
    <t xml:space="preserve"> 03/2212</t>
  </si>
  <si>
    <r>
      <t xml:space="preserve">výkup pozemků </t>
    </r>
    <r>
      <rPr>
        <i/>
        <sz val="8"/>
        <rFont val="Arial CE"/>
        <family val="2"/>
      </rPr>
      <t>4668</t>
    </r>
  </si>
  <si>
    <t xml:space="preserve"> 98031</t>
  </si>
  <si>
    <t xml:space="preserve"> 09/6171</t>
  </si>
  <si>
    <t>SSP poštovné</t>
  </si>
  <si>
    <t>ZOZ</t>
  </si>
  <si>
    <t xml:space="preserve"> 05/4375</t>
  </si>
  <si>
    <t>klub prev.kriminality</t>
  </si>
  <si>
    <t xml:space="preserve"> 98064</t>
  </si>
  <si>
    <t xml:space="preserve"> 07/5512</t>
  </si>
  <si>
    <t>JSDH vyb,údržba</t>
  </si>
  <si>
    <t>00099</t>
  </si>
  <si>
    <r>
      <t>ÚMČ</t>
    </r>
    <r>
      <rPr>
        <sz val="7"/>
        <rFont val="Arial CE"/>
        <family val="2"/>
      </rPr>
      <t xml:space="preserve"> služby (DPPO 2006)</t>
    </r>
  </si>
  <si>
    <t>00091</t>
  </si>
  <si>
    <t xml:space="preserve"> 04/3113</t>
  </si>
  <si>
    <t>ZŠ integrace</t>
  </si>
  <si>
    <t>98116</t>
  </si>
  <si>
    <t>ÚMČ Czech Point</t>
  </si>
  <si>
    <t>97572</t>
  </si>
  <si>
    <t>MF pěší propoj</t>
  </si>
  <si>
    <t>VÝDAJE  účel. prostř</t>
  </si>
  <si>
    <t>VÝDAJE  c e l k e m</t>
  </si>
  <si>
    <t xml:space="preserve"> účetní stav   31.12.2007 (13)</t>
  </si>
  <si>
    <t>viz HMP účel</t>
  </si>
  <si>
    <t xml:space="preserve"> = vlastní prostř. MČ + ponech z roku 2006</t>
  </si>
  <si>
    <t>2321 dary 5+20</t>
  </si>
  <si>
    <t>nyní 3639</t>
  </si>
  <si>
    <t>viz stát účel</t>
  </si>
  <si>
    <t>UZ 13306</t>
  </si>
  <si>
    <t>UZ 13235</t>
  </si>
  <si>
    <t>nyní 4351/1</t>
  </si>
  <si>
    <t>nyní 4351/2</t>
  </si>
  <si>
    <t>nyní 4351/3</t>
  </si>
  <si>
    <t>nyní 4351</t>
  </si>
  <si>
    <t>nyní 4375</t>
  </si>
  <si>
    <t>nadace VIA ponech z roku 2006</t>
  </si>
  <si>
    <t>nyní 3539</t>
  </si>
  <si>
    <r>
      <t xml:space="preserve">ponech z roku 2006  </t>
    </r>
    <r>
      <rPr>
        <i/>
        <sz val="8"/>
        <rFont val="Arial CE"/>
        <family val="2"/>
      </rPr>
      <t>90,1</t>
    </r>
  </si>
  <si>
    <t>2210 sankce:</t>
  </si>
  <si>
    <t>2460 SFZ</t>
  </si>
  <si>
    <t xml:space="preserve"> viz ORJ, PO</t>
  </si>
  <si>
    <t>2321 neinv.dary:</t>
  </si>
  <si>
    <t>2322 poj.plnění:</t>
  </si>
  <si>
    <t>2329 nahodilé:</t>
  </si>
  <si>
    <t>2343 dobýv.:</t>
  </si>
  <si>
    <t>MP 1341-5,7</t>
  </si>
  <si>
    <t>SprPopl 1361:</t>
  </si>
  <si>
    <t>DzN:</t>
  </si>
  <si>
    <t>stát DSP</t>
  </si>
  <si>
    <t>4112 stát školství:</t>
  </si>
  <si>
    <t>4112 stát st.spr:</t>
  </si>
  <si>
    <t>4121 HMP:</t>
  </si>
  <si>
    <t>4131 ekon:čin</t>
  </si>
  <si>
    <t>předpokl stavu úvěru 31/12/07</t>
  </si>
  <si>
    <t>nahod</t>
  </si>
  <si>
    <t>úroky</t>
  </si>
  <si>
    <t>FV 2006 vč SSP 1.510 tis  .</t>
  </si>
  <si>
    <t>nedočerp grant hřiště</t>
  </si>
  <si>
    <t>kamer.syst</t>
  </si>
  <si>
    <t>FV 2006</t>
  </si>
  <si>
    <t xml:space="preserve"> P Ř Í J M Y</t>
  </si>
  <si>
    <r>
      <t xml:space="preserve">ponech z roku 2006  </t>
    </r>
    <r>
      <rPr>
        <i/>
        <sz val="8"/>
        <rFont val="Arial CE"/>
        <family val="2"/>
      </rPr>
      <t>219,6</t>
    </r>
  </si>
  <si>
    <t>HMP účel</t>
  </si>
  <si>
    <r>
      <t xml:space="preserve">ponech z roku 2006 </t>
    </r>
    <r>
      <rPr>
        <i/>
        <sz val="8"/>
        <rFont val="Arial CE"/>
        <family val="2"/>
      </rPr>
      <t>68,2</t>
    </r>
  </si>
  <si>
    <r>
      <t xml:space="preserve">ponech z roku 2006 </t>
    </r>
    <r>
      <rPr>
        <i/>
        <sz val="8"/>
        <rFont val="Arial CE"/>
        <family val="2"/>
      </rPr>
      <t>97,6</t>
    </r>
  </si>
  <si>
    <t>ponech z roku 2006</t>
  </si>
  <si>
    <t>stát účel</t>
  </si>
  <si>
    <t>PŘÍJMY účel. prostř</t>
  </si>
  <si>
    <t>PŘÍJMY  c e l k e m</t>
  </si>
  <si>
    <t>výsledek účel. prostř</t>
  </si>
  <si>
    <t>výsledek  c e l k e m</t>
  </si>
  <si>
    <t>V Ý D A J E</t>
  </si>
  <si>
    <t>P Ř Í J M Y</t>
  </si>
  <si>
    <r>
      <t>schválený</t>
    </r>
    <r>
      <rPr>
        <b/>
        <i/>
        <sz val="8"/>
        <rFont val="Arial CE"/>
        <family val="2"/>
      </rPr>
      <t xml:space="preserve"> rozpočet 2007</t>
    </r>
  </si>
  <si>
    <t>úprava rozpočtu</t>
  </si>
  <si>
    <r>
      <t xml:space="preserve">úprava rozpočtu </t>
    </r>
    <r>
      <rPr>
        <b/>
        <i/>
        <sz val="7"/>
        <color indexed="12"/>
        <rFont val="Arial CE"/>
        <family val="2"/>
      </rPr>
      <t>vlastní MČ</t>
    </r>
  </si>
  <si>
    <t>upravený rozpočet</t>
  </si>
  <si>
    <t>ponecháno      do 2008</t>
  </si>
  <si>
    <t>ponecháno       z 2006</t>
  </si>
  <si>
    <t>dopl odv. MP</t>
  </si>
  <si>
    <t>FV dopl</t>
  </si>
  <si>
    <t>12/12*(300+31,8+45,3+1160+3500-1700+50)</t>
  </si>
  <si>
    <t>celkem k odvodu</t>
  </si>
  <si>
    <t>SFZ tvorba:</t>
  </si>
  <si>
    <t>pojištění</t>
  </si>
  <si>
    <t>NZZ</t>
  </si>
  <si>
    <r>
      <t>ÚMČ</t>
    </r>
    <r>
      <rPr>
        <sz val="7"/>
        <rFont val="Arial CE"/>
        <family val="2"/>
      </rPr>
      <t xml:space="preserve"> služby (DPPO za 2006)</t>
    </r>
  </si>
  <si>
    <t xml:space="preserve"> 02 infrastruktura</t>
  </si>
  <si>
    <t xml:space="preserve"> 03 doprava</t>
  </si>
  <si>
    <t xml:space="preserve">výsledek </t>
  </si>
  <si>
    <t>v tom tvorba SFZ 3%</t>
  </si>
  <si>
    <t>FV 2007 (+)         k vrácení</t>
  </si>
  <si>
    <t xml:space="preserve"> 04 školství</t>
  </si>
  <si>
    <t>05 sociál. věci</t>
  </si>
  <si>
    <t>06 kultura</t>
  </si>
  <si>
    <t>07 bezpečnost</t>
  </si>
  <si>
    <t>08 hospodářství</t>
  </si>
  <si>
    <t>09 správa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</si>
</sst>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53">
    <font>
      <sz val="10"/>
      <name val="Arial CE"/>
      <family val="0"/>
    </font>
    <font>
      <b/>
      <i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i/>
      <sz val="7"/>
      <name val="Arial CE"/>
      <family val="2"/>
    </font>
    <font>
      <i/>
      <sz val="7"/>
      <color indexed="12"/>
      <name val="Arial CE"/>
      <family val="2"/>
    </font>
    <font>
      <sz val="8"/>
      <color indexed="12"/>
      <name val="Arial CE"/>
      <family val="2"/>
    </font>
    <font>
      <sz val="7"/>
      <name val="Arial CE"/>
      <family val="2"/>
    </font>
    <font>
      <sz val="7"/>
      <color indexed="12"/>
      <name val="Arial CE"/>
      <family val="2"/>
    </font>
    <font>
      <sz val="8"/>
      <color indexed="20"/>
      <name val="Arial CE"/>
      <family val="2"/>
    </font>
    <font>
      <strike/>
      <sz val="7"/>
      <name val="Arial CE"/>
      <family val="2"/>
    </font>
    <font>
      <strike/>
      <sz val="8"/>
      <name val="Arial CE"/>
      <family val="2"/>
    </font>
    <font>
      <strike/>
      <sz val="6"/>
      <name val="Arial CE"/>
      <family val="2"/>
    </font>
    <font>
      <i/>
      <sz val="8"/>
      <name val="Arial CE"/>
      <family val="2"/>
    </font>
    <font>
      <sz val="7"/>
      <color indexed="2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sz val="8"/>
      <color indexed="17"/>
      <name val="Arial CE"/>
      <family val="2"/>
    </font>
    <font>
      <b/>
      <sz val="8"/>
      <color indexed="20"/>
      <name val="Arial CE"/>
      <family val="2"/>
    </font>
    <font>
      <sz val="10"/>
      <color indexed="12"/>
      <name val="Arial CE"/>
      <family val="2"/>
    </font>
    <font>
      <b/>
      <sz val="9"/>
      <color indexed="12"/>
      <name val="Arial CE"/>
      <family val="2"/>
    </font>
    <font>
      <i/>
      <sz val="8"/>
      <color indexed="12"/>
      <name val="Arial CE"/>
      <family val="2"/>
    </font>
    <font>
      <b/>
      <sz val="9"/>
      <color indexed="20"/>
      <name val="Arial CE"/>
      <family val="2"/>
    </font>
    <font>
      <b/>
      <i/>
      <sz val="8"/>
      <name val="Arial CE"/>
      <family val="2"/>
    </font>
    <font>
      <b/>
      <sz val="7"/>
      <name val="Arial CE"/>
      <family val="2"/>
    </font>
    <font>
      <b/>
      <sz val="7"/>
      <color indexed="20"/>
      <name val="Arial CE"/>
      <family val="2"/>
    </font>
    <font>
      <b/>
      <i/>
      <sz val="9"/>
      <name val="Arial CE"/>
      <family val="2"/>
    </font>
    <font>
      <b/>
      <sz val="10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9"/>
      <name val="Arial CE"/>
      <family val="2"/>
    </font>
    <font>
      <b/>
      <i/>
      <sz val="9"/>
      <color indexed="12"/>
      <name val="Arial CE"/>
      <family val="2"/>
    </font>
    <font>
      <i/>
      <sz val="8"/>
      <color indexed="20"/>
      <name val="Arial CE"/>
      <family val="2"/>
    </font>
    <font>
      <b/>
      <i/>
      <sz val="10"/>
      <color indexed="12"/>
      <name val="Arial CE"/>
      <family val="2"/>
    </font>
    <font>
      <b/>
      <i/>
      <sz val="7"/>
      <name val="Arial CE"/>
      <family val="2"/>
    </font>
    <font>
      <b/>
      <i/>
      <sz val="8"/>
      <color indexed="12"/>
      <name val="Arial CE"/>
      <family val="2"/>
    </font>
    <font>
      <b/>
      <i/>
      <sz val="7"/>
      <color indexed="12"/>
      <name val="Arial CE"/>
      <family val="2"/>
    </font>
    <font>
      <b/>
      <i/>
      <sz val="8"/>
      <color indexed="20"/>
      <name val="Arial CE"/>
      <family val="2"/>
    </font>
    <font>
      <i/>
      <sz val="8"/>
      <color indexed="17"/>
      <name val="Arial CE"/>
      <family val="2"/>
    </font>
    <font>
      <i/>
      <sz val="8"/>
      <color indexed="40"/>
      <name val="Arial CE"/>
      <family val="2"/>
    </font>
    <font>
      <b/>
      <i/>
      <sz val="8"/>
      <color indexed="17"/>
      <name val="Arial CE"/>
      <family val="2"/>
    </font>
    <font>
      <i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color indexed="12"/>
      <name val="Arial CE"/>
      <family val="2"/>
    </font>
    <font>
      <b/>
      <i/>
      <sz val="9"/>
      <color indexed="20"/>
      <name val="Arial CE"/>
      <family val="2"/>
    </font>
    <font>
      <i/>
      <sz val="9"/>
      <name val="Arial CE"/>
      <family val="2"/>
    </font>
    <font>
      <i/>
      <sz val="9"/>
      <color indexed="12"/>
      <name val="Arial CE"/>
      <family val="2"/>
    </font>
    <font>
      <b/>
      <sz val="8"/>
      <name val="Tahoma"/>
      <family val="0"/>
    </font>
    <font>
      <sz val="9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ck"/>
      <bottom style="thick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ck"/>
      <bottom style="thick"/>
    </border>
    <border>
      <left style="thin"/>
      <right style="thick"/>
      <top style="thin"/>
      <bottom style="double"/>
    </border>
    <border>
      <left style="thin"/>
      <right style="thick"/>
      <top style="double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3" fillId="2" borderId="5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4" fontId="3" fillId="0" borderId="6" xfId="0" applyNumberFormat="1" applyFont="1" applyFill="1" applyBorder="1" applyAlignment="1">
      <alignment/>
    </xf>
    <xf numFmtId="0" fontId="10" fillId="0" borderId="4" xfId="0" applyFont="1" applyFill="1" applyBorder="1" applyAlignment="1">
      <alignment horizontal="right"/>
    </xf>
    <xf numFmtId="0" fontId="7" fillId="0" borderId="5" xfId="0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49" fontId="3" fillId="0" borderId="4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13" fillId="0" borderId="5" xfId="0" applyFont="1" applyFill="1" applyBorder="1" applyAlignment="1">
      <alignment horizontal="right"/>
    </xf>
    <xf numFmtId="3" fontId="3" fillId="0" borderId="6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14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4" fontId="8" fillId="0" borderId="5" xfId="0" applyNumberFormat="1" applyFont="1" applyFill="1" applyBorder="1" applyAlignment="1">
      <alignment/>
    </xf>
    <xf numFmtId="4" fontId="3" fillId="0" borderId="5" xfId="0" applyNumberFormat="1" applyFont="1" applyFill="1" applyBorder="1" applyAlignment="1">
      <alignment/>
    </xf>
    <xf numFmtId="0" fontId="15" fillId="0" borderId="8" xfId="0" applyNumberFormat="1" applyFont="1" applyFill="1" applyBorder="1" applyAlignment="1" applyProtection="1">
      <alignment/>
      <protection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64" fontId="3" fillId="2" borderId="0" xfId="0" applyNumberFormat="1" applyFont="1" applyFill="1" applyAlignment="1">
      <alignment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49" fontId="16" fillId="0" borderId="11" xfId="0" applyNumberFormat="1" applyFont="1" applyFill="1" applyBorder="1" applyAlignment="1">
      <alignment/>
    </xf>
    <xf numFmtId="17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49" fontId="16" fillId="0" borderId="6" xfId="0" applyNumberFormat="1" applyFont="1" applyFill="1" applyBorder="1" applyAlignment="1">
      <alignment/>
    </xf>
    <xf numFmtId="17" fontId="3" fillId="0" borderId="4" xfId="0" applyNumberFormat="1" applyFont="1" applyFill="1" applyBorder="1" applyAlignment="1">
      <alignment/>
    </xf>
    <xf numFmtId="0" fontId="3" fillId="0" borderId="7" xfId="0" applyFont="1" applyFill="1" applyBorder="1" applyAlignment="1">
      <alignment/>
    </xf>
    <xf numFmtId="49" fontId="18" fillId="0" borderId="14" xfId="0" applyNumberFormat="1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49" fontId="20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5" fillId="0" borderId="17" xfId="0" applyNumberFormat="1" applyFont="1" applyFill="1" applyBorder="1" applyAlignment="1" applyProtection="1">
      <alignment/>
      <protection/>
    </xf>
    <xf numFmtId="0" fontId="15" fillId="0" borderId="9" xfId="0" applyNumberFormat="1" applyFont="1" applyFill="1" applyBorder="1" applyAlignment="1" applyProtection="1">
      <alignment/>
      <protection/>
    </xf>
    <xf numFmtId="0" fontId="16" fillId="0" borderId="9" xfId="0" applyNumberFormat="1" applyFont="1" applyFill="1" applyBorder="1" applyAlignment="1" applyProtection="1">
      <alignment/>
      <protection/>
    </xf>
    <xf numFmtId="0" fontId="15" fillId="0" borderId="18" xfId="0" applyNumberFormat="1" applyFont="1" applyFill="1" applyBorder="1" applyAlignment="1" applyProtection="1">
      <alignment/>
      <protection/>
    </xf>
    <xf numFmtId="0" fontId="15" fillId="0" borderId="19" xfId="0" applyNumberFormat="1" applyFont="1" applyFill="1" applyBorder="1" applyAlignment="1" applyProtection="1">
      <alignment/>
      <protection/>
    </xf>
    <xf numFmtId="0" fontId="16" fillId="0" borderId="19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6" fillId="0" borderId="20" xfId="0" applyNumberFormat="1" applyFont="1" applyFill="1" applyBorder="1" applyAlignment="1">
      <alignment horizontal="center" wrapText="1"/>
    </xf>
    <xf numFmtId="4" fontId="3" fillId="0" borderId="21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4" fontId="22" fillId="0" borderId="7" xfId="0" applyNumberFormat="1" applyFont="1" applyFill="1" applyBorder="1" applyAlignment="1">
      <alignment/>
    </xf>
    <xf numFmtId="4" fontId="23" fillId="0" borderId="7" xfId="0" applyNumberFormat="1" applyFont="1" applyFill="1" applyBorder="1" applyAlignment="1">
      <alignment/>
    </xf>
    <xf numFmtId="4" fontId="24" fillId="0" borderId="7" xfId="0" applyNumberFormat="1" applyFont="1" applyFill="1" applyBorder="1" applyAlignment="1">
      <alignment/>
    </xf>
    <xf numFmtId="4" fontId="25" fillId="0" borderId="22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6" fillId="0" borderId="23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17" fillId="0" borderId="7" xfId="0" applyNumberFormat="1" applyFont="1" applyFill="1" applyBorder="1" applyAlignment="1">
      <alignment/>
    </xf>
    <xf numFmtId="4" fontId="22" fillId="0" borderId="22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Alignment="1">
      <alignment/>
    </xf>
    <xf numFmtId="164" fontId="7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 horizontal="center" wrapText="1"/>
    </xf>
    <xf numFmtId="4" fontId="3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0" fontId="3" fillId="0" borderId="0" xfId="0" applyNumberFormat="1" applyFont="1" applyFill="1" applyAlignment="1">
      <alignment/>
    </xf>
    <xf numFmtId="164" fontId="8" fillId="0" borderId="27" xfId="0" applyNumberFormat="1" applyFont="1" applyFill="1" applyBorder="1" applyAlignment="1">
      <alignment/>
    </xf>
    <xf numFmtId="4" fontId="13" fillId="0" borderId="27" xfId="0" applyNumberFormat="1" applyFont="1" applyFill="1" applyBorder="1" applyAlignment="1">
      <alignment/>
    </xf>
    <xf numFmtId="4" fontId="14" fillId="0" borderId="28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/>
    </xf>
    <xf numFmtId="4" fontId="7" fillId="0" borderId="27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4" fontId="16" fillId="0" borderId="27" xfId="0" applyNumberFormat="1" applyFont="1" applyFill="1" applyBorder="1" applyAlignment="1">
      <alignment/>
    </xf>
    <xf numFmtId="4" fontId="26" fillId="0" borderId="27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" fontId="27" fillId="0" borderId="29" xfId="0" applyNumberFormat="1" applyFont="1" applyFill="1" applyBorder="1" applyAlignment="1">
      <alignment/>
    </xf>
    <xf numFmtId="4" fontId="28" fillId="0" borderId="9" xfId="0" applyNumberFormat="1" applyFont="1" applyFill="1" applyBorder="1" applyAlignment="1">
      <alignment/>
    </xf>
    <xf numFmtId="3" fontId="29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Alignment="1">
      <alignment/>
    </xf>
    <xf numFmtId="4" fontId="3" fillId="0" borderId="30" xfId="0" applyNumberFormat="1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0" fontId="3" fillId="0" borderId="27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0" fontId="3" fillId="0" borderId="31" xfId="0" applyNumberFormat="1" applyFont="1" applyFill="1" applyBorder="1" applyAlignment="1">
      <alignment/>
    </xf>
    <xf numFmtId="10" fontId="19" fillId="0" borderId="31" xfId="0" applyNumberFormat="1" applyFont="1" applyFill="1" applyBorder="1" applyAlignment="1">
      <alignment/>
    </xf>
    <xf numFmtId="164" fontId="30" fillId="0" borderId="27" xfId="0" applyNumberFormat="1" applyFont="1" applyFill="1" applyBorder="1" applyAlignment="1">
      <alignment/>
    </xf>
    <xf numFmtId="10" fontId="9" fillId="0" borderId="31" xfId="0" applyNumberFormat="1" applyFont="1" applyFill="1" applyBorder="1" applyAlignment="1">
      <alignment/>
    </xf>
    <xf numFmtId="164" fontId="31" fillId="0" borderId="27" xfId="0" applyNumberFormat="1" applyFont="1" applyFill="1" applyBorder="1" applyAlignment="1">
      <alignment/>
    </xf>
    <xf numFmtId="4" fontId="16" fillId="0" borderId="32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3" fontId="15" fillId="0" borderId="8" xfId="0" applyNumberFormat="1" applyFont="1" applyFill="1" applyBorder="1" applyAlignment="1" applyProtection="1">
      <alignment/>
      <protection/>
    </xf>
    <xf numFmtId="3" fontId="15" fillId="0" borderId="10" xfId="0" applyNumberFormat="1" applyFont="1" applyFill="1" applyBorder="1" applyAlignment="1" applyProtection="1">
      <alignment horizontal="right"/>
      <protection/>
    </xf>
    <xf numFmtId="4" fontId="6" fillId="0" borderId="33" xfId="0" applyNumberFormat="1" applyFont="1" applyFill="1" applyBorder="1" applyAlignment="1">
      <alignment horizontal="center" wrapText="1"/>
    </xf>
    <xf numFmtId="4" fontId="3" fillId="0" borderId="34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22" fillId="0" borderId="35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4" fontId="6" fillId="3" borderId="35" xfId="0" applyNumberFormat="1" applyFont="1" applyFill="1" applyBorder="1" applyAlignment="1">
      <alignment/>
    </xf>
    <xf numFmtId="4" fontId="9" fillId="3" borderId="35" xfId="0" applyNumberFormat="1" applyFont="1" applyFill="1" applyBorder="1" applyAlignment="1">
      <alignment/>
    </xf>
    <xf numFmtId="164" fontId="33" fillId="0" borderId="4" xfId="0" applyNumberFormat="1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25" fillId="0" borderId="36" xfId="0" applyNumberFormat="1" applyFont="1" applyFill="1" applyBorder="1" applyAlignment="1">
      <alignment/>
    </xf>
    <xf numFmtId="164" fontId="15" fillId="0" borderId="0" xfId="0" applyNumberFormat="1" applyFont="1" applyFill="1" applyBorder="1" applyAlignment="1" applyProtection="1">
      <alignment/>
      <protection/>
    </xf>
    <xf numFmtId="4" fontId="3" fillId="0" borderId="37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3" fillId="0" borderId="39" xfId="0" applyNumberFormat="1" applyFont="1" applyFill="1" applyBorder="1" applyAlignment="1">
      <alignment/>
    </xf>
    <xf numFmtId="4" fontId="34" fillId="0" borderId="35" xfId="0" applyNumberFormat="1" applyFont="1" applyFill="1" applyBorder="1" applyAlignment="1">
      <alignment/>
    </xf>
    <xf numFmtId="4" fontId="22" fillId="0" borderId="36" xfId="0" applyNumberFormat="1" applyFont="1" applyFill="1" applyBorder="1" applyAlignment="1" applyProtection="1">
      <alignment/>
      <protection/>
    </xf>
    <xf numFmtId="4" fontId="20" fillId="0" borderId="36" xfId="0" applyNumberFormat="1" applyFont="1" applyFill="1" applyBorder="1" applyAlignment="1" applyProtection="1">
      <alignment/>
      <protection/>
    </xf>
    <xf numFmtId="4" fontId="16" fillId="0" borderId="36" xfId="0" applyNumberFormat="1" applyFont="1" applyFill="1" applyBorder="1" applyAlignment="1" applyProtection="1">
      <alignment/>
      <protection/>
    </xf>
    <xf numFmtId="164" fontId="36" fillId="0" borderId="40" xfId="0" applyNumberFormat="1" applyFont="1" applyFill="1" applyBorder="1" applyAlignment="1">
      <alignment horizontal="center" wrapText="1"/>
    </xf>
    <xf numFmtId="164" fontId="25" fillId="0" borderId="41" xfId="0" applyNumberFormat="1" applyFont="1" applyFill="1" applyBorder="1" applyAlignment="1">
      <alignment horizontal="center" wrapText="1"/>
    </xf>
    <xf numFmtId="164" fontId="37" fillId="0" borderId="41" xfId="0" applyNumberFormat="1" applyFont="1" applyFill="1" applyBorder="1" applyAlignment="1">
      <alignment horizontal="center" wrapText="1"/>
    </xf>
    <xf numFmtId="164" fontId="37" fillId="2" borderId="4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64" fontId="3" fillId="0" borderId="42" xfId="0" applyNumberFormat="1" applyFont="1" applyFill="1" applyBorder="1" applyAlignment="1">
      <alignment wrapText="1"/>
    </xf>
    <xf numFmtId="164" fontId="13" fillId="0" borderId="2" xfId="0" applyNumberFormat="1" applyFont="1" applyFill="1" applyBorder="1" applyAlignment="1">
      <alignment wrapText="1"/>
    </xf>
    <xf numFmtId="164" fontId="23" fillId="0" borderId="2" xfId="0" applyNumberFormat="1" applyFont="1" applyFill="1" applyBorder="1" applyAlignment="1">
      <alignment wrapText="1"/>
    </xf>
    <xf numFmtId="164" fontId="25" fillId="0" borderId="2" xfId="0" applyNumberFormat="1" applyFont="1" applyFill="1" applyBorder="1" applyAlignment="1">
      <alignment wrapText="1"/>
    </xf>
    <xf numFmtId="164" fontId="37" fillId="2" borderId="3" xfId="0" applyNumberFormat="1" applyFont="1" applyFill="1" applyBorder="1" applyAlignment="1">
      <alignment wrapText="1"/>
    </xf>
    <xf numFmtId="164" fontId="3" fillId="0" borderId="42" xfId="0" applyNumberFormat="1" applyFont="1" applyFill="1" applyBorder="1" applyAlignment="1">
      <alignment/>
    </xf>
    <xf numFmtId="164" fontId="3" fillId="0" borderId="43" xfId="0" applyNumberFormat="1" applyFont="1" applyFill="1" applyBorder="1" applyAlignment="1">
      <alignment wrapText="1"/>
    </xf>
    <xf numFmtId="164" fontId="13" fillId="0" borderId="4" xfId="0" applyNumberFormat="1" applyFont="1" applyFill="1" applyBorder="1" applyAlignment="1">
      <alignment wrapText="1"/>
    </xf>
    <xf numFmtId="164" fontId="23" fillId="0" borderId="4" xfId="0" applyNumberFormat="1" applyFont="1" applyFill="1" applyBorder="1" applyAlignment="1">
      <alignment wrapText="1"/>
    </xf>
    <xf numFmtId="164" fontId="25" fillId="0" borderId="4" xfId="0" applyNumberFormat="1" applyFont="1" applyFill="1" applyBorder="1" applyAlignment="1">
      <alignment wrapText="1"/>
    </xf>
    <xf numFmtId="164" fontId="3" fillId="0" borderId="43" xfId="0" applyNumberFormat="1" applyFont="1" applyFill="1" applyBorder="1" applyAlignment="1">
      <alignment/>
    </xf>
    <xf numFmtId="164" fontId="34" fillId="2" borderId="4" xfId="0" applyNumberFormat="1" applyFont="1" applyFill="1" applyBorder="1" applyAlignment="1">
      <alignment wrapText="1"/>
    </xf>
    <xf numFmtId="164" fontId="37" fillId="4" borderId="3" xfId="0" applyNumberFormat="1" applyFont="1" applyFill="1" applyBorder="1" applyAlignment="1">
      <alignment wrapText="1"/>
    </xf>
    <xf numFmtId="164" fontId="13" fillId="0" borderId="4" xfId="0" applyNumberFormat="1" applyFont="1" applyFill="1" applyBorder="1" applyAlignment="1">
      <alignment/>
    </xf>
    <xf numFmtId="164" fontId="15" fillId="0" borderId="43" xfId="0" applyNumberFormat="1" applyFont="1" applyFill="1" applyBorder="1" applyAlignment="1">
      <alignment/>
    </xf>
    <xf numFmtId="164" fontId="28" fillId="0" borderId="4" xfId="0" applyNumberFormat="1" applyFont="1" applyFill="1" applyBorder="1" applyAlignment="1">
      <alignment/>
    </xf>
    <xf numFmtId="164" fontId="28" fillId="0" borderId="4" xfId="0" applyNumberFormat="1" applyFont="1" applyFill="1" applyBorder="1" applyAlignment="1">
      <alignment wrapText="1"/>
    </xf>
    <xf numFmtId="164" fontId="39" fillId="2" borderId="4" xfId="0" applyNumberFormat="1" applyFont="1" applyFill="1" applyBorder="1" applyAlignment="1">
      <alignment wrapText="1"/>
    </xf>
    <xf numFmtId="164" fontId="37" fillId="0" borderId="4" xfId="0" applyNumberFormat="1" applyFont="1" applyFill="1" applyBorder="1" applyAlignment="1">
      <alignment wrapText="1"/>
    </xf>
    <xf numFmtId="164" fontId="6" fillId="0" borderId="43" xfId="0" applyNumberFormat="1" applyFont="1" applyFill="1" applyBorder="1" applyAlignment="1">
      <alignment wrapText="1"/>
    </xf>
    <xf numFmtId="164" fontId="37" fillId="2" borderId="4" xfId="0" applyNumberFormat="1" applyFont="1" applyFill="1" applyBorder="1" applyAlignment="1">
      <alignment wrapText="1"/>
    </xf>
    <xf numFmtId="164" fontId="23" fillId="2" borderId="4" xfId="0" applyNumberFormat="1" applyFont="1" applyFill="1" applyBorder="1" applyAlignment="1">
      <alignment wrapText="1"/>
    </xf>
    <xf numFmtId="164" fontId="40" fillId="2" borderId="4" xfId="0" applyNumberFormat="1" applyFont="1" applyFill="1" applyBorder="1" applyAlignment="1">
      <alignment wrapText="1"/>
    </xf>
    <xf numFmtId="164" fontId="34" fillId="0" borderId="4" xfId="0" applyNumberFormat="1" applyFont="1" applyFill="1" applyBorder="1" applyAlignment="1">
      <alignment wrapText="1"/>
    </xf>
    <xf numFmtId="164" fontId="37" fillId="0" borderId="5" xfId="0" applyNumberFormat="1" applyFont="1" applyFill="1" applyBorder="1" applyAlignment="1">
      <alignment wrapText="1"/>
    </xf>
    <xf numFmtId="164" fontId="40" fillId="0" borderId="4" xfId="0" applyNumberFormat="1" applyFont="1" applyFill="1" applyBorder="1" applyAlignment="1">
      <alignment wrapText="1"/>
    </xf>
    <xf numFmtId="164" fontId="41" fillId="0" borderId="4" xfId="0" applyNumberFormat="1" applyFont="1" applyFill="1" applyBorder="1" applyAlignment="1">
      <alignment wrapText="1"/>
    </xf>
    <xf numFmtId="164" fontId="42" fillId="0" borderId="4" xfId="0" applyNumberFormat="1" applyFont="1" applyFill="1" applyBorder="1" applyAlignment="1">
      <alignment wrapText="1"/>
    </xf>
    <xf numFmtId="164" fontId="39" fillId="0" borderId="4" xfId="0" applyNumberFormat="1" applyFont="1" applyFill="1" applyBorder="1" applyAlignment="1">
      <alignment wrapText="1"/>
    </xf>
    <xf numFmtId="164" fontId="40" fillId="0" borderId="4" xfId="0" applyNumberFormat="1" applyFont="1" applyFill="1" applyBorder="1" applyAlignment="1">
      <alignment/>
    </xf>
    <xf numFmtId="164" fontId="43" fillId="0" borderId="4" xfId="0" applyNumberFormat="1" applyFont="1" applyFill="1" applyBorder="1" applyAlignment="1">
      <alignment/>
    </xf>
    <xf numFmtId="164" fontId="44" fillId="2" borderId="4" xfId="0" applyNumberFormat="1" applyFont="1" applyFill="1" applyBorder="1" applyAlignment="1">
      <alignment wrapText="1"/>
    </xf>
    <xf numFmtId="164" fontId="39" fillId="2" borderId="3" xfId="0" applyNumberFormat="1" applyFont="1" applyFill="1" applyBorder="1" applyAlignment="1">
      <alignment wrapText="1"/>
    </xf>
    <xf numFmtId="164" fontId="44" fillId="0" borderId="4" xfId="0" applyNumberFormat="1" applyFont="1" applyFill="1" applyBorder="1" applyAlignment="1">
      <alignment wrapText="1"/>
    </xf>
    <xf numFmtId="164" fontId="25" fillId="0" borderId="43" xfId="0" applyNumberFormat="1" applyFont="1" applyFill="1" applyBorder="1" applyAlignment="1">
      <alignment wrapText="1"/>
    </xf>
    <xf numFmtId="164" fontId="3" fillId="2" borderId="43" xfId="0" applyNumberFormat="1" applyFont="1" applyFill="1" applyBorder="1" applyAlignment="1">
      <alignment/>
    </xf>
    <xf numFmtId="164" fontId="34" fillId="0" borderId="4" xfId="0" applyNumberFormat="1" applyFont="1" applyFill="1" applyBorder="1" applyAlignment="1">
      <alignment/>
    </xf>
    <xf numFmtId="164" fontId="13" fillId="5" borderId="4" xfId="0" applyNumberFormat="1" applyFont="1" applyFill="1" applyBorder="1" applyAlignment="1">
      <alignment/>
    </xf>
    <xf numFmtId="164" fontId="15" fillId="0" borderId="44" xfId="0" applyNumberFormat="1" applyFont="1" applyFill="1" applyBorder="1" applyAlignment="1">
      <alignment/>
    </xf>
    <xf numFmtId="164" fontId="28" fillId="0" borderId="15" xfId="0" applyNumberFormat="1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164" fontId="28" fillId="0" borderId="15" xfId="0" applyNumberFormat="1" applyFont="1" applyFill="1" applyBorder="1" applyAlignment="1">
      <alignment wrapText="1"/>
    </xf>
    <xf numFmtId="164" fontId="29" fillId="0" borderId="45" xfId="0" applyNumberFormat="1" applyFont="1" applyFill="1" applyBorder="1" applyAlignment="1">
      <alignment/>
    </xf>
    <xf numFmtId="164" fontId="45" fillId="0" borderId="46" xfId="0" applyNumberFormat="1" applyFont="1" applyFill="1" applyBorder="1" applyAlignment="1">
      <alignment/>
    </xf>
    <xf numFmtId="164" fontId="35" fillId="0" borderId="46" xfId="0" applyNumberFormat="1" applyFont="1" applyFill="1" applyBorder="1" applyAlignment="1">
      <alignment/>
    </xf>
    <xf numFmtId="164" fontId="45" fillId="2" borderId="46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46" fillId="0" borderId="0" xfId="0" applyNumberFormat="1" applyFont="1" applyFill="1" applyAlignment="1">
      <alignment/>
    </xf>
    <xf numFmtId="164" fontId="47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164" fontId="15" fillId="5" borderId="0" xfId="0" applyNumberFormat="1" applyFont="1" applyFill="1" applyBorder="1" applyAlignment="1" applyProtection="1">
      <alignment/>
      <protection/>
    </xf>
    <xf numFmtId="4" fontId="15" fillId="0" borderId="0" xfId="0" applyNumberFormat="1" applyFont="1" applyFill="1" applyBorder="1" applyAlignment="1" applyProtection="1">
      <alignment/>
      <protection/>
    </xf>
    <xf numFmtId="164" fontId="46" fillId="0" borderId="0" xfId="0" applyNumberFormat="1" applyFont="1" applyFill="1" applyAlignment="1">
      <alignment/>
    </xf>
    <xf numFmtId="164" fontId="22" fillId="2" borderId="0" xfId="0" applyNumberFormat="1" applyFont="1" applyFill="1" applyBorder="1" applyAlignment="1" applyProtection="1">
      <alignment/>
      <protection/>
    </xf>
    <xf numFmtId="164" fontId="22" fillId="0" borderId="0" xfId="0" applyNumberFormat="1" applyFont="1" applyFill="1" applyBorder="1" applyAlignment="1" applyProtection="1">
      <alignment/>
      <protection/>
    </xf>
    <xf numFmtId="164" fontId="35" fillId="2" borderId="46" xfId="0" applyNumberFormat="1" applyFont="1" applyFill="1" applyBorder="1" applyAlignment="1">
      <alignment/>
    </xf>
    <xf numFmtId="164" fontId="35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3" fillId="0" borderId="47" xfId="0" applyNumberFormat="1" applyFont="1" applyFill="1" applyBorder="1" applyAlignment="1" applyProtection="1">
      <alignment horizontal="center" wrapText="1"/>
      <protection/>
    </xf>
    <xf numFmtId="0" fontId="3" fillId="0" borderId="46" xfId="0" applyNumberFormat="1" applyFont="1" applyFill="1" applyBorder="1" applyAlignment="1" applyProtection="1">
      <alignment horizontal="center" wrapText="1"/>
      <protection/>
    </xf>
    <xf numFmtId="0" fontId="3" fillId="0" borderId="36" xfId="0" applyNumberFormat="1" applyFont="1" applyFill="1" applyBorder="1" applyAlignment="1" applyProtection="1">
      <alignment horizontal="center" wrapText="1"/>
      <protection/>
    </xf>
    <xf numFmtId="164" fontId="3" fillId="0" borderId="48" xfId="0" applyNumberFormat="1" applyFont="1" applyFill="1" applyBorder="1" applyAlignment="1">
      <alignment wrapText="1"/>
    </xf>
    <xf numFmtId="164" fontId="13" fillId="0" borderId="49" xfId="0" applyNumberFormat="1" applyFont="1" applyFill="1" applyBorder="1" applyAlignment="1">
      <alignment wrapText="1"/>
    </xf>
    <xf numFmtId="164" fontId="23" fillId="0" borderId="49" xfId="0" applyNumberFormat="1" applyFont="1" applyFill="1" applyBorder="1" applyAlignment="1">
      <alignment wrapText="1"/>
    </xf>
    <xf numFmtId="164" fontId="25" fillId="0" borderId="12" xfId="0" applyNumberFormat="1" applyFont="1" applyFill="1" applyBorder="1" applyAlignment="1">
      <alignment wrapText="1"/>
    </xf>
    <xf numFmtId="164" fontId="39" fillId="4" borderId="50" xfId="0" applyNumberFormat="1" applyFont="1" applyFill="1" applyBorder="1" applyAlignment="1">
      <alignment wrapText="1"/>
    </xf>
    <xf numFmtId="164" fontId="3" fillId="0" borderId="48" xfId="0" applyNumberFormat="1" applyFont="1" applyFill="1" applyBorder="1" applyAlignment="1">
      <alignment/>
    </xf>
    <xf numFmtId="164" fontId="13" fillId="0" borderId="49" xfId="0" applyNumberFormat="1" applyFont="1" applyFill="1" applyBorder="1" applyAlignment="1">
      <alignment/>
    </xf>
    <xf numFmtId="164" fontId="37" fillId="0" borderId="49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49" xfId="0" applyNumberFormat="1" applyFont="1" applyFill="1" applyBorder="1" applyAlignment="1" applyProtection="1">
      <alignment/>
      <protection/>
    </xf>
    <xf numFmtId="4" fontId="3" fillId="0" borderId="35" xfId="0" applyNumberFormat="1" applyFont="1" applyFill="1" applyBorder="1" applyAlignment="1" applyProtection="1">
      <alignment/>
      <protection/>
    </xf>
    <xf numFmtId="164" fontId="39" fillId="4" borderId="3" xfId="0" applyNumberFormat="1" applyFont="1" applyFill="1" applyBorder="1" applyAlignment="1">
      <alignment wrapText="1"/>
    </xf>
    <xf numFmtId="4" fontId="23" fillId="0" borderId="6" xfId="0" applyNumberFormat="1" applyFont="1" applyFill="1" applyBorder="1" applyAlignment="1" applyProtection="1">
      <alignment/>
      <protection/>
    </xf>
    <xf numFmtId="4" fontId="3" fillId="0" borderId="2" xfId="0" applyNumberFormat="1" applyFont="1" applyFill="1" applyBorder="1" applyAlignment="1" applyProtection="1">
      <alignment/>
      <protection/>
    </xf>
    <xf numFmtId="4" fontId="13" fillId="0" borderId="6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35" xfId="0" applyNumberFormat="1" applyFont="1" applyFill="1" applyBorder="1" applyAlignment="1" applyProtection="1">
      <alignment/>
      <protection/>
    </xf>
    <xf numFmtId="164" fontId="34" fillId="2" borderId="3" xfId="0" applyNumberFormat="1" applyFont="1" applyFill="1" applyBorder="1" applyAlignment="1">
      <alignment wrapText="1"/>
    </xf>
    <xf numFmtId="164" fontId="25" fillId="0" borderId="5" xfId="0" applyNumberFormat="1" applyFont="1" applyFill="1" applyBorder="1" applyAlignment="1">
      <alignment wrapText="1"/>
    </xf>
    <xf numFmtId="164" fontId="19" fillId="0" borderId="44" xfId="0" applyNumberFormat="1" applyFont="1" applyFill="1" applyBorder="1" applyAlignment="1">
      <alignment wrapText="1"/>
    </xf>
    <xf numFmtId="164" fontId="40" fillId="0" borderId="15" xfId="0" applyNumberFormat="1" applyFont="1" applyFill="1" applyBorder="1" applyAlignment="1">
      <alignment wrapText="1"/>
    </xf>
    <xf numFmtId="164" fontId="42" fillId="0" borderId="5" xfId="0" applyNumberFormat="1" applyFont="1" applyFill="1" applyBorder="1" applyAlignment="1">
      <alignment wrapText="1"/>
    </xf>
    <xf numFmtId="164" fontId="19" fillId="0" borderId="43" xfId="0" applyNumberFormat="1" applyFont="1" applyFill="1" applyBorder="1" applyAlignment="1">
      <alignment/>
    </xf>
    <xf numFmtId="0" fontId="30" fillId="0" borderId="4" xfId="0" applyNumberFormat="1" applyFont="1" applyFill="1" applyBorder="1" applyAlignment="1" applyProtection="1">
      <alignment/>
      <protection/>
    </xf>
    <xf numFmtId="0" fontId="30" fillId="0" borderId="35" xfId="0" applyNumberFormat="1" applyFont="1" applyFill="1" applyBorder="1" applyAlignment="1" applyProtection="1">
      <alignment/>
      <protection/>
    </xf>
    <xf numFmtId="0" fontId="30" fillId="0" borderId="0" xfId="0" applyFont="1" applyFill="1" applyAlignment="1">
      <alignment/>
    </xf>
    <xf numFmtId="164" fontId="9" fillId="0" borderId="44" xfId="0" applyNumberFormat="1" applyFont="1" applyFill="1" applyBorder="1" applyAlignment="1">
      <alignment wrapText="1"/>
    </xf>
    <xf numFmtId="164" fontId="34" fillId="0" borderId="15" xfId="0" applyNumberFormat="1" applyFont="1" applyFill="1" applyBorder="1" applyAlignment="1">
      <alignment wrapText="1"/>
    </xf>
    <xf numFmtId="164" fontId="39" fillId="0" borderId="5" xfId="0" applyNumberFormat="1" applyFont="1" applyFill="1" applyBorder="1" applyAlignment="1">
      <alignment wrapText="1"/>
    </xf>
    <xf numFmtId="164" fontId="9" fillId="0" borderId="43" xfId="0" applyNumberFormat="1" applyFont="1" applyFill="1" applyBorder="1" applyAlignment="1">
      <alignment/>
    </xf>
    <xf numFmtId="164" fontId="28" fillId="0" borderId="46" xfId="0" applyNumberFormat="1" applyFont="1" applyFill="1" applyBorder="1" applyAlignment="1" applyProtection="1">
      <alignment/>
      <protection/>
    </xf>
    <xf numFmtId="164" fontId="33" fillId="0" borderId="46" xfId="0" applyNumberFormat="1" applyFont="1" applyFill="1" applyBorder="1" applyAlignment="1" applyProtection="1">
      <alignment/>
      <protection/>
    </xf>
    <xf numFmtId="164" fontId="28" fillId="2" borderId="46" xfId="0" applyNumberFormat="1" applyFont="1" applyFill="1" applyBorder="1" applyAlignment="1" applyProtection="1">
      <alignment/>
      <protection/>
    </xf>
    <xf numFmtId="164" fontId="33" fillId="2" borderId="46" xfId="0" applyNumberFormat="1" applyFont="1" applyFill="1" applyBorder="1" applyAlignment="1" applyProtection="1">
      <alignment/>
      <protection/>
    </xf>
    <xf numFmtId="4" fontId="17" fillId="0" borderId="45" xfId="0" applyNumberFormat="1" applyFont="1" applyFill="1" applyBorder="1" applyAlignment="1" applyProtection="1">
      <alignment/>
      <protection/>
    </xf>
    <xf numFmtId="4" fontId="16" fillId="2" borderId="47" xfId="0" applyNumberFormat="1" applyFont="1" applyFill="1" applyBorder="1" applyAlignment="1" applyProtection="1">
      <alignment/>
      <protection/>
    </xf>
    <xf numFmtId="4" fontId="16" fillId="0" borderId="51" xfId="0" applyNumberFormat="1" applyFont="1" applyFill="1" applyBorder="1" applyAlignment="1" applyProtection="1">
      <alignment/>
      <protection/>
    </xf>
    <xf numFmtId="4" fontId="16" fillId="0" borderId="46" xfId="0" applyNumberFormat="1" applyFont="1" applyFill="1" applyBorder="1" applyAlignment="1" applyProtection="1">
      <alignment/>
      <protection/>
    </xf>
    <xf numFmtId="164" fontId="48" fillId="2" borderId="46" xfId="0" applyNumberFormat="1" applyFont="1" applyFill="1" applyBorder="1" applyAlignment="1" applyProtection="1">
      <alignment/>
      <protection/>
    </xf>
    <xf numFmtId="0" fontId="0" fillId="0" borderId="52" xfId="0" applyNumberFormat="1" applyFont="1" applyFill="1" applyBorder="1" applyAlignment="1" applyProtection="1">
      <alignment/>
      <protection/>
    </xf>
    <xf numFmtId="4" fontId="16" fillId="0" borderId="5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164" fontId="6" fillId="2" borderId="0" xfId="0" applyNumberFormat="1" applyFont="1" applyFill="1" applyAlignment="1">
      <alignment/>
    </xf>
    <xf numFmtId="164" fontId="9" fillId="2" borderId="0" xfId="0" applyNumberFormat="1" applyFont="1" applyFill="1" applyAlignment="1">
      <alignment/>
    </xf>
    <xf numFmtId="164" fontId="49" fillId="0" borderId="0" xfId="0" applyNumberFormat="1" applyFont="1" applyFill="1" applyBorder="1" applyAlignment="1" applyProtection="1">
      <alignment/>
      <protection/>
    </xf>
    <xf numFmtId="164" fontId="50" fillId="0" borderId="0" xfId="0" applyNumberFormat="1" applyFont="1" applyFill="1" applyBorder="1" applyAlignment="1" applyProtection="1">
      <alignment/>
      <protection/>
    </xf>
    <xf numFmtId="4" fontId="3" fillId="0" borderId="54" xfId="0" applyNumberFormat="1" applyFont="1" applyFill="1" applyBorder="1" applyAlignment="1" applyProtection="1">
      <alignment/>
      <protection/>
    </xf>
    <xf numFmtId="4" fontId="3" fillId="0" borderId="55" xfId="0" applyNumberFormat="1" applyFont="1" applyFill="1" applyBorder="1" applyAlignment="1" applyProtection="1">
      <alignment horizontal="center"/>
      <protection/>
    </xf>
    <xf numFmtId="4" fontId="16" fillId="0" borderId="45" xfId="0" applyNumberFormat="1" applyFont="1" applyFill="1" applyBorder="1" applyAlignment="1" applyProtection="1">
      <alignment/>
      <protection/>
    </xf>
    <xf numFmtId="4" fontId="3" fillId="0" borderId="55" xfId="0" applyNumberFormat="1" applyFont="1" applyFill="1" applyBorder="1" applyAlignment="1" applyProtection="1">
      <alignment/>
      <protection/>
    </xf>
    <xf numFmtId="4" fontId="6" fillId="6" borderId="56" xfId="0" applyNumberFormat="1" applyFont="1" applyFill="1" applyBorder="1" applyAlignment="1" applyProtection="1">
      <alignment/>
      <protection/>
    </xf>
    <xf numFmtId="0" fontId="21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164" fontId="7" fillId="0" borderId="57" xfId="0" applyNumberFormat="1" applyFont="1" applyFill="1" applyBorder="1" applyAlignment="1">
      <alignment/>
    </xf>
    <xf numFmtId="0" fontId="34" fillId="6" borderId="5" xfId="0" applyFont="1" applyFill="1" applyBorder="1" applyAlignment="1">
      <alignment/>
    </xf>
    <xf numFmtId="0" fontId="4" fillId="6" borderId="27" xfId="0" applyFont="1" applyFill="1" applyBorder="1" applyAlignment="1">
      <alignment/>
    </xf>
    <xf numFmtId="164" fontId="39" fillId="0" borderId="58" xfId="0" applyNumberFormat="1" applyFont="1" applyFill="1" applyBorder="1" applyAlignment="1">
      <alignment wrapText="1"/>
    </xf>
    <xf numFmtId="0" fontId="15" fillId="6" borderId="59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vertical="center"/>
      <protection/>
    </xf>
    <xf numFmtId="3" fontId="29" fillId="0" borderId="0" xfId="0" applyNumberFormat="1" applyFont="1" applyFill="1" applyBorder="1" applyAlignment="1" applyProtection="1">
      <alignment horizontal="right"/>
      <protection/>
    </xf>
    <xf numFmtId="4" fontId="16" fillId="0" borderId="60" xfId="0" applyNumberFormat="1" applyFont="1" applyFill="1" applyBorder="1" applyAlignment="1" applyProtection="1">
      <alignment/>
      <protection/>
    </xf>
    <xf numFmtId="4" fontId="3" fillId="0" borderId="47" xfId="0" applyNumberFormat="1" applyFont="1" applyFill="1" applyBorder="1" applyAlignment="1">
      <alignment/>
    </xf>
    <xf numFmtId="164" fontId="46" fillId="0" borderId="46" xfId="0" applyNumberFormat="1" applyFont="1" applyFill="1" applyBorder="1" applyAlignment="1">
      <alignment/>
    </xf>
    <xf numFmtId="164" fontId="0" fillId="0" borderId="46" xfId="0" applyNumberFormat="1" applyFont="1" applyFill="1" applyBorder="1" applyAlignment="1">
      <alignment/>
    </xf>
    <xf numFmtId="164" fontId="21" fillId="0" borderId="46" xfId="0" applyNumberFormat="1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4" fontId="15" fillId="0" borderId="39" xfId="0" applyNumberFormat="1" applyFont="1" applyFill="1" applyBorder="1" applyAlignment="1">
      <alignment/>
    </xf>
    <xf numFmtId="4" fontId="9" fillId="0" borderId="7" xfId="0" applyNumberFormat="1" applyFont="1" applyFill="1" applyBorder="1" applyAlignment="1">
      <alignment/>
    </xf>
    <xf numFmtId="4" fontId="24" fillId="0" borderId="36" xfId="0" applyNumberFormat="1" applyFont="1" applyFill="1" applyBorder="1" applyAlignment="1" applyProtection="1">
      <alignment/>
      <protection/>
    </xf>
    <xf numFmtId="4" fontId="23" fillId="3" borderId="6" xfId="0" applyNumberFormat="1" applyFont="1" applyFill="1" applyBorder="1" applyAlignment="1" applyProtection="1">
      <alignment/>
      <protection/>
    </xf>
    <xf numFmtId="4" fontId="7" fillId="0" borderId="7" xfId="0" applyNumberFormat="1" applyFont="1" applyFill="1" applyBorder="1" applyAlignment="1">
      <alignment/>
    </xf>
    <xf numFmtId="4" fontId="52" fillId="6" borderId="5" xfId="0" applyNumberFormat="1" applyFont="1" applyFill="1" applyBorder="1" applyAlignment="1">
      <alignment/>
    </xf>
    <xf numFmtId="4" fontId="52" fillId="0" borderId="5" xfId="0" applyNumberFormat="1" applyFont="1" applyFill="1" applyBorder="1" applyAlignment="1">
      <alignment/>
    </xf>
    <xf numFmtId="4" fontId="52" fillId="0" borderId="27" xfId="0" applyNumberFormat="1" applyFont="1" applyFill="1" applyBorder="1" applyAlignment="1">
      <alignment/>
    </xf>
    <xf numFmtId="4" fontId="52" fillId="0" borderId="28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4" fontId="52" fillId="0" borderId="57" xfId="0" applyNumberFormat="1" applyFont="1" applyFill="1" applyBorder="1" applyAlignment="1">
      <alignment/>
    </xf>
    <xf numFmtId="0" fontId="32" fillId="0" borderId="63" xfId="0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58" xfId="0" applyFont="1" applyFill="1" applyBorder="1" applyAlignment="1">
      <alignment/>
    </xf>
    <xf numFmtId="4" fontId="24" fillId="0" borderId="29" xfId="0" applyNumberFormat="1" applyFont="1" applyFill="1" applyBorder="1" applyAlignment="1">
      <alignment/>
    </xf>
    <xf numFmtId="164" fontId="39" fillId="2" borderId="5" xfId="0" applyNumberFormat="1" applyFont="1" applyFill="1" applyBorder="1" applyAlignment="1">
      <alignment wrapText="1"/>
    </xf>
    <xf numFmtId="164" fontId="39" fillId="2" borderId="64" xfId="0" applyNumberFormat="1" applyFont="1" applyFill="1" applyBorder="1" applyAlignment="1">
      <alignment wrapText="1"/>
    </xf>
    <xf numFmtId="4" fontId="17" fillId="0" borderId="65" xfId="0" applyNumberFormat="1" applyFont="1" applyFill="1" applyBorder="1" applyAlignment="1">
      <alignment/>
    </xf>
    <xf numFmtId="10" fontId="9" fillId="0" borderId="66" xfId="0" applyNumberFormat="1" applyFont="1" applyFill="1" applyBorder="1" applyAlignment="1">
      <alignment/>
    </xf>
    <xf numFmtId="164" fontId="31" fillId="0" borderId="67" xfId="0" applyNumberFormat="1" applyFont="1" applyFill="1" applyBorder="1" applyAlignment="1">
      <alignment/>
    </xf>
    <xf numFmtId="164" fontId="9" fillId="0" borderId="68" xfId="0" applyNumberFormat="1" applyFont="1" applyFill="1" applyBorder="1" applyAlignment="1">
      <alignment/>
    </xf>
    <xf numFmtId="164" fontId="34" fillId="0" borderId="69" xfId="0" applyNumberFormat="1" applyFont="1" applyFill="1" applyBorder="1" applyAlignment="1">
      <alignment wrapText="1"/>
    </xf>
    <xf numFmtId="164" fontId="39" fillId="0" borderId="64" xfId="0" applyNumberFormat="1" applyFont="1" applyFill="1" applyBorder="1" applyAlignment="1">
      <alignment wrapText="1"/>
    </xf>
    <xf numFmtId="4" fontId="9" fillId="0" borderId="70" xfId="0" applyNumberFormat="1" applyFont="1" applyFill="1" applyBorder="1" applyAlignment="1">
      <alignment/>
    </xf>
    <xf numFmtId="4" fontId="34" fillId="0" borderId="6" xfId="0" applyNumberFormat="1" applyFont="1" applyFill="1" applyBorder="1" applyAlignment="1" applyProtection="1">
      <alignment/>
      <protection/>
    </xf>
    <xf numFmtId="3" fontId="3" fillId="0" borderId="35" xfId="0" applyNumberFormat="1" applyFont="1" applyFill="1" applyBorder="1" applyAlignment="1" applyProtection="1">
      <alignment/>
      <protection/>
    </xf>
    <xf numFmtId="3" fontId="16" fillId="0" borderId="36" xfId="0" applyNumberFormat="1" applyFont="1" applyFill="1" applyBorder="1" applyAlignment="1" applyProtection="1">
      <alignment/>
      <protection/>
    </xf>
    <xf numFmtId="0" fontId="1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/>
    </xf>
    <xf numFmtId="0" fontId="2" fillId="0" borderId="7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164" fontId="35" fillId="0" borderId="73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4" fontId="7" fillId="0" borderId="27" xfId="0" applyNumberFormat="1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46"/>
  <sheetViews>
    <sheetView tabSelected="1" workbookViewId="0" topLeftCell="A1">
      <pane xSplit="3" ySplit="3" topLeftCell="J5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M124" sqref="M124"/>
    </sheetView>
  </sheetViews>
  <sheetFormatPr defaultColWidth="9.00390625" defaultRowHeight="12.75"/>
  <cols>
    <col min="1" max="1" width="9.25390625" style="37" customWidth="1"/>
    <col min="2" max="2" width="7.00390625" style="37" customWidth="1"/>
    <col min="3" max="3" width="11.75390625" style="37" customWidth="1"/>
    <col min="4" max="4" width="8.75390625" style="183" customWidth="1"/>
    <col min="5" max="5" width="8.75390625" style="184" hidden="1" customWidth="1"/>
    <col min="6" max="6" width="8.75390625" style="185" hidden="1" customWidth="1"/>
    <col min="7" max="7" width="8.75390625" style="184" hidden="1" customWidth="1"/>
    <col min="8" max="8" width="10.125" style="186" hidden="1" customWidth="1"/>
    <col min="9" max="9" width="10.875" style="187" customWidth="1"/>
    <col min="10" max="10" width="14.625" style="68" customWidth="1"/>
    <col min="11" max="11" width="11.00390625" style="68" customWidth="1"/>
    <col min="12" max="12" width="8.25390625" style="98" customWidth="1"/>
    <col min="13" max="13" width="8.625" style="98" customWidth="1"/>
    <col min="14" max="16" width="8.75390625" style="190" hidden="1" customWidth="1"/>
    <col min="17" max="17" width="10.125" style="186" hidden="1" customWidth="1"/>
    <col min="18" max="18" width="9.625" style="187" customWidth="1"/>
    <col min="19" max="19" width="13.75390625" style="68" customWidth="1"/>
    <col min="20" max="20" width="10.25390625" style="59" customWidth="1"/>
    <col min="21" max="21" width="11.375" style="80" hidden="1" customWidth="1"/>
    <col min="22" max="22" width="9.375" style="60" customWidth="1"/>
    <col min="23" max="16384" width="9.125" style="60" customWidth="1"/>
  </cols>
  <sheetData>
    <row r="1" ht="13.5" thickBot="1"/>
    <row r="2" spans="1:22" ht="14.25" customHeight="1" thickTop="1">
      <c r="A2" s="297" t="s">
        <v>0</v>
      </c>
      <c r="B2" s="298"/>
      <c r="C2" s="298"/>
      <c r="D2" s="303" t="s">
        <v>186</v>
      </c>
      <c r="E2" s="304"/>
      <c r="F2" s="304"/>
      <c r="G2" s="304"/>
      <c r="H2" s="304"/>
      <c r="I2" s="304"/>
      <c r="J2" s="306"/>
      <c r="K2" s="74">
        <f>(12+1.5+10+10+30+8+10+5+8+20+7+15+20+7+8.2+12.3+13+30+5+20+3.6+10+8+4+20+1.93)*1000</f>
        <v>299530.00000000006</v>
      </c>
      <c r="L2" s="301"/>
      <c r="M2" s="303" t="s">
        <v>187</v>
      </c>
      <c r="N2" s="304"/>
      <c r="O2" s="304"/>
      <c r="P2" s="304"/>
      <c r="Q2" s="304"/>
      <c r="R2" s="304"/>
      <c r="S2" s="305"/>
      <c r="T2" s="250"/>
      <c r="U2" s="251"/>
      <c r="V2" s="251"/>
    </row>
    <row r="3" spans="1:22" s="136" customFormat="1" ht="36.75" thickBot="1">
      <c r="A3" s="299"/>
      <c r="B3" s="300"/>
      <c r="C3" s="300"/>
      <c r="D3" s="132" t="s">
        <v>188</v>
      </c>
      <c r="E3" s="133" t="s">
        <v>189</v>
      </c>
      <c r="F3" s="134" t="s">
        <v>190</v>
      </c>
      <c r="G3" s="133"/>
      <c r="H3" s="133" t="s">
        <v>191</v>
      </c>
      <c r="I3" s="135" t="s">
        <v>191</v>
      </c>
      <c r="J3" s="61" t="s">
        <v>137</v>
      </c>
      <c r="K3" s="75"/>
      <c r="L3" s="302"/>
      <c r="M3" s="132" t="s">
        <v>188</v>
      </c>
      <c r="N3" s="133" t="s">
        <v>189</v>
      </c>
      <c r="O3" s="133"/>
      <c r="P3" s="134" t="s">
        <v>190</v>
      </c>
      <c r="Q3" s="133" t="s">
        <v>191</v>
      </c>
      <c r="R3" s="135" t="s">
        <v>191</v>
      </c>
      <c r="S3" s="114" t="s">
        <v>137</v>
      </c>
      <c r="T3" s="252"/>
      <c r="U3" s="252"/>
      <c r="V3" s="252"/>
    </row>
    <row r="4" spans="1:21" ht="13.5" thickTop="1">
      <c r="A4" s="1" t="s">
        <v>1</v>
      </c>
      <c r="B4" s="2">
        <v>2310</v>
      </c>
      <c r="C4" s="3" t="s">
        <v>2</v>
      </c>
      <c r="D4" s="137"/>
      <c r="E4" s="138">
        <f>195.1*0</f>
        <v>0</v>
      </c>
      <c r="F4" s="139"/>
      <c r="G4" s="138"/>
      <c r="H4" s="140">
        <f>D4+E4</f>
        <v>0</v>
      </c>
      <c r="I4" s="141">
        <f>H4+F4</f>
        <v>0</v>
      </c>
      <c r="J4" s="62"/>
      <c r="K4" s="76"/>
      <c r="L4" s="77"/>
      <c r="M4" s="142"/>
      <c r="N4" s="138">
        <f>195.1*0</f>
        <v>0</v>
      </c>
      <c r="O4" s="138"/>
      <c r="P4" s="138"/>
      <c r="Q4" s="140">
        <f>M4+N4</f>
        <v>0</v>
      </c>
      <c r="R4" s="141">
        <f>Q4+P4</f>
        <v>0</v>
      </c>
      <c r="S4" s="115">
        <f>3/3*195100*0</f>
        <v>0</v>
      </c>
      <c r="T4" s="60"/>
      <c r="U4" s="60"/>
    </row>
    <row r="5" spans="1:21" ht="21.75" customHeight="1">
      <c r="A5" s="7"/>
      <c r="B5" s="4">
        <v>3421</v>
      </c>
      <c r="C5" s="5" t="s">
        <v>5</v>
      </c>
      <c r="D5" s="143"/>
      <c r="E5" s="144">
        <f>65*0+(157.6-102.6)</f>
        <v>55</v>
      </c>
      <c r="F5" s="148">
        <f>12/12*71+72</f>
        <v>143</v>
      </c>
      <c r="G5" s="144"/>
      <c r="H5" s="146">
        <f>D5+E5</f>
        <v>55</v>
      </c>
      <c r="I5" s="149">
        <f>H5+F5</f>
        <v>198</v>
      </c>
      <c r="J5" s="63">
        <f>8846/8846*(71424-90/90*16499.4)+8887/8887*(90/90*24968.7*0+7/7*(71526.4+90/90*51733.8*0))+3600*3/3*0-96392.7*0</f>
        <v>126451</v>
      </c>
      <c r="K5" s="307" t="s">
        <v>139</v>
      </c>
      <c r="L5" s="308"/>
      <c r="M5" s="147"/>
      <c r="N5" s="150"/>
      <c r="O5" s="150"/>
      <c r="P5" s="150"/>
      <c r="Q5" s="146">
        <f>M5+N5</f>
        <v>0</v>
      </c>
      <c r="R5" s="141">
        <f>Q5+P5</f>
        <v>0</v>
      </c>
      <c r="S5" s="116"/>
      <c r="T5" s="60"/>
      <c r="U5" s="60"/>
    </row>
    <row r="6" spans="1:21" ht="12.75">
      <c r="A6" s="1" t="s">
        <v>1</v>
      </c>
      <c r="B6" s="4">
        <v>3722</v>
      </c>
      <c r="C6" s="5" t="s">
        <v>3</v>
      </c>
      <c r="D6" s="143"/>
      <c r="E6" s="144">
        <f>3300*0</f>
        <v>0</v>
      </c>
      <c r="F6" s="145"/>
      <c r="G6" s="144"/>
      <c r="H6" s="146">
        <f aca="true" t="shared" si="0" ref="H6:H13">D6+E6</f>
        <v>0</v>
      </c>
      <c r="I6" s="141">
        <f>H6+F6</f>
        <v>0</v>
      </c>
      <c r="J6" s="28">
        <f>825000*0</f>
        <v>0</v>
      </c>
      <c r="K6" s="78" t="s">
        <v>138</v>
      </c>
      <c r="L6" s="79"/>
      <c r="M6" s="147"/>
      <c r="N6" s="144">
        <f>3300*0</f>
        <v>0</v>
      </c>
      <c r="O6" s="144"/>
      <c r="P6" s="144"/>
      <c r="Q6" s="146">
        <f aca="true" t="shared" si="1" ref="Q6:Q14">M6+N6</f>
        <v>0</v>
      </c>
      <c r="R6" s="141">
        <f>Q6+P6</f>
        <v>0</v>
      </c>
      <c r="S6" s="116">
        <f>3300000*0</f>
        <v>0</v>
      </c>
      <c r="T6" s="60"/>
      <c r="U6" s="60"/>
    </row>
    <row r="7" spans="1:21" ht="21.75" customHeight="1">
      <c r="A7" s="1" t="s">
        <v>1</v>
      </c>
      <c r="B7" s="4">
        <v>3745</v>
      </c>
      <c r="C7" s="6" t="s">
        <v>4</v>
      </c>
      <c r="D7" s="143"/>
      <c r="E7" s="144"/>
      <c r="F7" s="148">
        <f>2006/2006*250*0+12/12*250</f>
        <v>250</v>
      </c>
      <c r="G7" s="144"/>
      <c r="H7" s="146">
        <f>D7+E7</f>
        <v>0</v>
      </c>
      <c r="I7" s="149">
        <f>H7+F7</f>
        <v>250</v>
      </c>
      <c r="J7" s="63">
        <f>436654-90/90*219620+6/6*20002+84/84*-237036+8/8*217034*0+10/10*257094+4516/4516*2179.3</f>
        <v>259273.3</v>
      </c>
      <c r="K7" s="307" t="s">
        <v>139</v>
      </c>
      <c r="L7" s="308"/>
      <c r="M7" s="147"/>
      <c r="N7" s="150"/>
      <c r="O7" s="150"/>
      <c r="P7" s="150"/>
      <c r="Q7" s="146">
        <f>M7+N7</f>
        <v>0</v>
      </c>
      <c r="R7" s="141">
        <f>Q7+P7</f>
        <v>0</v>
      </c>
      <c r="S7" s="116"/>
      <c r="T7" s="60"/>
      <c r="U7" s="60"/>
    </row>
    <row r="8" spans="1:19" s="279" customFormat="1" ht="12">
      <c r="A8" s="257" t="s">
        <v>202</v>
      </c>
      <c r="B8" s="275"/>
      <c r="C8" s="276">
        <f>J8+(J94+J95)+J96+J101+J102+J115+J116+J117-2/2*(1908046.7*0+7/7*2576340.2*0+8/8*2873731.2*0+9/9*3286231.2*0+10/10*3696106.2*0+12/12*5035718*0+13/13*5137875.66)</f>
        <v>0</v>
      </c>
      <c r="D8" s="151">
        <f>SUM(D4:D7)</f>
        <v>0</v>
      </c>
      <c r="E8" s="152">
        <f>SUM(E4:E7)</f>
        <v>55</v>
      </c>
      <c r="F8" s="121">
        <f>SUM(F4:F7)</f>
        <v>393</v>
      </c>
      <c r="G8" s="152"/>
      <c r="H8" s="153">
        <f t="shared" si="0"/>
        <v>55</v>
      </c>
      <c r="I8" s="121">
        <f>SUM(I4:I7)</f>
        <v>448</v>
      </c>
      <c r="J8" s="64">
        <f>SUM(J4:J7)</f>
        <v>385724.3</v>
      </c>
      <c r="K8" s="277">
        <f>R8+(R94+R95)+R96+R101+R102+R115+R116+R117-2/2*(8/8*5645.1*0+12/12*5945.1)</f>
        <v>0</v>
      </c>
      <c r="L8" s="278">
        <f>S8+S95+S101+S102+S115+S116+S117-2/2*(7/7*4095100*0+8/8*4895100*0+9/9*5195100*0+12/12*5945100)</f>
        <v>0</v>
      </c>
      <c r="M8" s="151">
        <f>SUM(M4:M7)</f>
        <v>0</v>
      </c>
      <c r="N8" s="152">
        <f>SUM(N4:N7)</f>
        <v>0</v>
      </c>
      <c r="O8" s="152"/>
      <c r="P8" s="121">
        <f>SUM(P4:P7)</f>
        <v>0</v>
      </c>
      <c r="Q8" s="153">
        <f t="shared" si="1"/>
        <v>0</v>
      </c>
      <c r="R8" s="121">
        <f>SUM(R4:R7)</f>
        <v>0</v>
      </c>
      <c r="S8" s="117">
        <f>SUM(S4:S7)</f>
        <v>0</v>
      </c>
    </row>
    <row r="9" spans="1:21" ht="12.75">
      <c r="A9" s="7" t="s">
        <v>6</v>
      </c>
      <c r="B9" s="4">
        <v>2212</v>
      </c>
      <c r="C9" s="5" t="s">
        <v>7</v>
      </c>
      <c r="D9" s="143">
        <v>400</v>
      </c>
      <c r="E9" s="146"/>
      <c r="F9" s="154">
        <f>-60+12/12*60</f>
        <v>0</v>
      </c>
      <c r="G9" s="146"/>
      <c r="H9" s="146">
        <f>D9+E9</f>
        <v>400</v>
      </c>
      <c r="I9" s="141">
        <f aca="true" t="shared" si="2" ref="I9:I23">H9+F9</f>
        <v>400</v>
      </c>
      <c r="J9" s="63">
        <f>32707.51*0+3/3*179046.34*0+4/4*236276.39*0+6/6*245984.69*0+7/7*258540.39*0+8/8*337488.49*0+9/9*339988.49*0+12/12*393869</f>
        <v>393869</v>
      </c>
      <c r="K9" s="80"/>
      <c r="L9" s="79"/>
      <c r="M9" s="147"/>
      <c r="N9" s="150"/>
      <c r="O9" s="150"/>
      <c r="P9" s="155"/>
      <c r="Q9" s="146">
        <f>M9+N9</f>
        <v>0</v>
      </c>
      <c r="R9" s="141">
        <f aca="true" t="shared" si="3" ref="R9:R23">Q9+P9</f>
        <v>0</v>
      </c>
      <c r="S9" s="116"/>
      <c r="T9" s="60"/>
      <c r="U9" s="60"/>
    </row>
    <row r="10" spans="1:21" ht="12.75">
      <c r="A10" s="7"/>
      <c r="B10" s="9">
        <v>2212</v>
      </c>
      <c r="C10" s="10" t="s">
        <v>8</v>
      </c>
      <c r="D10" s="143"/>
      <c r="E10" s="146"/>
      <c r="F10" s="155"/>
      <c r="G10" s="146"/>
      <c r="H10" s="146">
        <f t="shared" si="0"/>
        <v>0</v>
      </c>
      <c r="I10" s="141">
        <f t="shared" si="2"/>
        <v>0</v>
      </c>
      <c r="J10" s="63">
        <f>1021891-90/90*97615.05-84/84*900000</f>
        <v>24275.949999999953</v>
      </c>
      <c r="K10" s="78"/>
      <c r="L10" s="79"/>
      <c r="M10" s="147"/>
      <c r="N10" s="150"/>
      <c r="O10" s="150"/>
      <c r="P10" s="155"/>
      <c r="Q10" s="146">
        <f t="shared" si="1"/>
        <v>0</v>
      </c>
      <c r="R10" s="141">
        <f t="shared" si="3"/>
        <v>0</v>
      </c>
      <c r="S10" s="116"/>
      <c r="T10" s="60"/>
      <c r="U10" s="60"/>
    </row>
    <row r="11" spans="1:21" ht="12.75" hidden="1">
      <c r="A11" s="7"/>
      <c r="B11" s="4">
        <v>2212</v>
      </c>
      <c r="C11" s="5" t="s">
        <v>9</v>
      </c>
      <c r="D11" s="143"/>
      <c r="E11" s="146"/>
      <c r="F11" s="155"/>
      <c r="G11" s="146"/>
      <c r="H11" s="146">
        <f t="shared" si="0"/>
        <v>0</v>
      </c>
      <c r="I11" s="141">
        <f t="shared" si="2"/>
        <v>0</v>
      </c>
      <c r="J11" s="28"/>
      <c r="K11" s="78"/>
      <c r="L11" s="79"/>
      <c r="M11" s="147"/>
      <c r="N11" s="150"/>
      <c r="O11" s="150"/>
      <c r="P11" s="155"/>
      <c r="Q11" s="146">
        <f t="shared" si="1"/>
        <v>0</v>
      </c>
      <c r="R11" s="141">
        <f t="shared" si="3"/>
        <v>0</v>
      </c>
      <c r="S11" s="116"/>
      <c r="T11" s="60"/>
      <c r="U11" s="60"/>
    </row>
    <row r="12" spans="1:21" ht="12.75">
      <c r="A12" s="7"/>
      <c r="B12" s="9">
        <v>2212</v>
      </c>
      <c r="C12" s="10" t="s">
        <v>10</v>
      </c>
      <c r="D12" s="156"/>
      <c r="E12" s="155"/>
      <c r="F12" s="157"/>
      <c r="G12" s="155"/>
      <c r="H12" s="155">
        <f>D12+E12</f>
        <v>0</v>
      </c>
      <c r="I12" s="141">
        <f>H12+F12</f>
        <v>0</v>
      </c>
      <c r="J12" s="63">
        <f>2008856-84/84*2000000</f>
        <v>8856</v>
      </c>
      <c r="K12" s="78"/>
      <c r="L12" s="79"/>
      <c r="M12" s="147"/>
      <c r="N12" s="150"/>
      <c r="O12" s="150"/>
      <c r="P12" s="155"/>
      <c r="Q12" s="146"/>
      <c r="R12" s="141"/>
      <c r="S12" s="116"/>
      <c r="T12" s="60"/>
      <c r="U12" s="60"/>
    </row>
    <row r="13" spans="1:21" ht="12.75">
      <c r="A13" s="7"/>
      <c r="B13" s="4">
        <v>2219</v>
      </c>
      <c r="C13" s="5" t="s">
        <v>11</v>
      </c>
      <c r="D13" s="143"/>
      <c r="E13" s="144"/>
      <c r="F13" s="145"/>
      <c r="G13" s="144"/>
      <c r="H13" s="146">
        <f t="shared" si="0"/>
        <v>0</v>
      </c>
      <c r="I13" s="141">
        <f t="shared" si="2"/>
        <v>0</v>
      </c>
      <c r="J13" s="63">
        <f>4430*0+5/5*13154.5*0+7/7*10425.41*0+9/9*13455.41</f>
        <v>13455.41</v>
      </c>
      <c r="K13" s="78"/>
      <c r="L13" s="79"/>
      <c r="M13" s="147"/>
      <c r="N13" s="150"/>
      <c r="O13" s="150"/>
      <c r="P13" s="145"/>
      <c r="Q13" s="146">
        <f t="shared" si="1"/>
        <v>0</v>
      </c>
      <c r="R13" s="141">
        <f t="shared" si="3"/>
        <v>0</v>
      </c>
      <c r="S13" s="116"/>
      <c r="T13" s="60"/>
      <c r="U13" s="60"/>
    </row>
    <row r="14" spans="1:19" s="279" customFormat="1" ht="12">
      <c r="A14" s="257" t="s">
        <v>203</v>
      </c>
      <c r="B14" s="275"/>
      <c r="C14" s="276">
        <f>J9+J10+J12+J13+J97+J98+J127+J118-3/3*(249430.89*0+7/7*1124665.8*0+8/8*1203613.9*0+9/9*10/10*1939042.9*0+12/12*6958880.87)</f>
        <v>0</v>
      </c>
      <c r="D14" s="151">
        <f>SUM(D9:D13)</f>
        <v>400</v>
      </c>
      <c r="E14" s="152">
        <f>SUM(E9:E13)</f>
        <v>0</v>
      </c>
      <c r="F14" s="121">
        <f>SUM(F9:F13)</f>
        <v>0</v>
      </c>
      <c r="G14" s="152"/>
      <c r="H14" s="153">
        <f>D14+E14</f>
        <v>400</v>
      </c>
      <c r="I14" s="121">
        <f>SUM(I9:I13)</f>
        <v>400</v>
      </c>
      <c r="J14" s="64">
        <f>SUM(J9:J13)</f>
        <v>440456.3599999999</v>
      </c>
      <c r="K14" s="277">
        <f>R9+R13+R97+R98+R118+R127-3/3*(8/8*2900*0+12/12*6400)</f>
        <v>0</v>
      </c>
      <c r="L14" s="278">
        <f>S9+S13+S97+S98+S118+S127-3/3*(7/7*2600000*0+8/8*2900000*0+12/12*6400000)</f>
        <v>0</v>
      </c>
      <c r="M14" s="151">
        <f>SUM(M9:M13)</f>
        <v>0</v>
      </c>
      <c r="N14" s="152">
        <f>SUM(N9:N13)</f>
        <v>0</v>
      </c>
      <c r="O14" s="152"/>
      <c r="P14" s="121">
        <f>SUM(P9:P13)</f>
        <v>0</v>
      </c>
      <c r="Q14" s="153">
        <f t="shared" si="1"/>
        <v>0</v>
      </c>
      <c r="R14" s="121">
        <f>SUM(R9:R13)</f>
        <v>0</v>
      </c>
      <c r="S14" s="117">
        <f>SUM(S9:S13)</f>
        <v>0</v>
      </c>
    </row>
    <row r="15" spans="1:21" ht="12.75">
      <c r="A15" s="7" t="s">
        <v>12</v>
      </c>
      <c r="B15" s="4">
        <v>3111</v>
      </c>
      <c r="C15" s="5" t="s">
        <v>13</v>
      </c>
      <c r="D15" s="143">
        <v>1380</v>
      </c>
      <c r="E15" s="144">
        <f>6/6*110</f>
        <v>110</v>
      </c>
      <c r="F15" s="145"/>
      <c r="G15" s="144"/>
      <c r="H15" s="146">
        <f>D15+E15</f>
        <v>1490</v>
      </c>
      <c r="I15" s="141">
        <f t="shared" si="2"/>
        <v>1490</v>
      </c>
      <c r="J15" s="63">
        <f>4/4*230000*0+8/8*1117500*0+12/12*1490000</f>
        <v>1490000</v>
      </c>
      <c r="K15" s="78"/>
      <c r="L15" s="79"/>
      <c r="M15" s="147"/>
      <c r="N15" s="150"/>
      <c r="O15" s="150"/>
      <c r="P15" s="150"/>
      <c r="Q15" s="146">
        <f>M15+N15</f>
        <v>0</v>
      </c>
      <c r="R15" s="141">
        <f t="shared" si="3"/>
        <v>0</v>
      </c>
      <c r="S15" s="116"/>
      <c r="T15" s="60"/>
      <c r="U15" s="60"/>
    </row>
    <row r="16" spans="1:21" ht="22.5" customHeight="1">
      <c r="A16" s="11">
        <f>(H15+H18+H20)+70</f>
        <v>4974</v>
      </c>
      <c r="B16" s="12">
        <f>(J15+J18+J20+70000)/1000</f>
        <v>5039</v>
      </c>
      <c r="C16" s="5"/>
      <c r="D16" s="143"/>
      <c r="E16" s="144"/>
      <c r="F16" s="145"/>
      <c r="G16" s="144"/>
      <c r="H16" s="146"/>
      <c r="I16" s="141">
        <f t="shared" si="2"/>
        <v>0</v>
      </c>
      <c r="J16" s="63">
        <f>3/3*29274*0+12/12*70988+10/10*738</f>
        <v>71726</v>
      </c>
      <c r="K16" s="78"/>
      <c r="L16" s="79"/>
      <c r="M16" s="147"/>
      <c r="N16" s="150"/>
      <c r="O16" s="150"/>
      <c r="P16" s="150"/>
      <c r="Q16" s="146"/>
      <c r="R16" s="141">
        <f t="shared" si="3"/>
        <v>0</v>
      </c>
      <c r="S16" s="116"/>
      <c r="T16" s="60"/>
      <c r="U16" s="60"/>
    </row>
    <row r="17" spans="1:21" ht="12.75">
      <c r="A17" s="253"/>
      <c r="B17" s="12"/>
      <c r="C17" s="5"/>
      <c r="D17" s="143"/>
      <c r="E17" s="144"/>
      <c r="F17" s="145"/>
      <c r="G17" s="144"/>
      <c r="H17" s="146"/>
      <c r="I17" s="141"/>
      <c r="J17" s="63"/>
      <c r="K17" s="78"/>
      <c r="L17" s="79"/>
      <c r="M17" s="147"/>
      <c r="N17" s="150"/>
      <c r="O17" s="150"/>
      <c r="P17" s="150"/>
      <c r="Q17" s="146"/>
      <c r="R17" s="141"/>
      <c r="S17" s="116"/>
      <c r="T17" s="60"/>
      <c r="U17" s="60"/>
    </row>
    <row r="18" spans="1:21" ht="36">
      <c r="A18" s="7">
        <f>2830*11/12-0.16667-2154</f>
        <v>439.99999666666645</v>
      </c>
      <c r="B18" s="4">
        <v>3113</v>
      </c>
      <c r="C18" s="13" t="s">
        <v>14</v>
      </c>
      <c r="D18" s="143">
        <v>2830</v>
      </c>
      <c r="E18" s="144">
        <f>70*0</f>
        <v>0</v>
      </c>
      <c r="F18" s="158">
        <f>2321/2321*(2006/2006*30+(6/6*5+11/11*(20+10)))</f>
        <v>65</v>
      </c>
      <c r="G18" s="144"/>
      <c r="H18" s="146">
        <f aca="true" t="shared" si="4" ref="H18:H24">D18+E18</f>
        <v>2830</v>
      </c>
      <c r="I18" s="141">
        <f t="shared" si="2"/>
        <v>2895</v>
      </c>
      <c r="J18" s="63">
        <f>4/4*472000*0+6/6*738000*0+8/8*2154000*0+12/12*2895000</f>
        <v>2895000</v>
      </c>
      <c r="K18" s="78" t="s">
        <v>138</v>
      </c>
      <c r="L18" s="81" t="s">
        <v>140</v>
      </c>
      <c r="M18" s="147"/>
      <c r="N18" s="144">
        <f>70*0</f>
        <v>0</v>
      </c>
      <c r="O18" s="144"/>
      <c r="P18" s="159">
        <f>2321/2321*(2006/2006*30*0+(6/6*5+11/11*20*0))*0</f>
        <v>0</v>
      </c>
      <c r="Q18" s="146">
        <f aca="true" t="shared" si="5" ref="Q18:Q24">M18+N18</f>
        <v>0</v>
      </c>
      <c r="R18" s="141">
        <f t="shared" si="3"/>
        <v>0</v>
      </c>
      <c r="S18" s="116">
        <f>3/3*70000*0</f>
        <v>0</v>
      </c>
      <c r="T18" s="60"/>
      <c r="U18" s="60"/>
    </row>
    <row r="19" spans="1:21" ht="21.75" customHeight="1">
      <c r="A19" s="7"/>
      <c r="B19" s="4"/>
      <c r="C19" s="8">
        <f>J18+J19+J106+J109*0+12/12*J125-3113/3113*(1179283.06*0+7/7*1445524.13*0+8/8*2891386*0+9/9*3152702.67*0+12/12*3642224.95*0+13/13*3270103.75)</f>
        <v>0</v>
      </c>
      <c r="D19" s="143"/>
      <c r="E19" s="144"/>
      <c r="F19" s="145"/>
      <c r="G19" s="144"/>
      <c r="H19" s="146"/>
      <c r="I19" s="141">
        <f t="shared" si="2"/>
        <v>0</v>
      </c>
      <c r="J19" s="63">
        <f>(55594.5+165788.66+193275+2127.72+65405-482190.88*0)*0+3/3*637356.45*0+4/4*935081.74*0+5/5*(1179283.06-5331/5331*472000-81/81*70000)*0+6/6*(1403126.52*0+7/7*1445524.13*0+8/8*2891386*0+9/9*3152702.67*0+10/10*3172257.74*0+12/12*3642224.95*0+13/13*3270103.75-5331/5331*(738000*0+8/8*2154000*0+12/12*2895000)-81/81*(70000+12/12*31800))</f>
        <v>273303.75</v>
      </c>
      <c r="K19" s="82"/>
      <c r="L19" s="83">
        <f>S18+S19+S106+S109-3113/3113*(7/7*1570000+12/12*0)</f>
        <v>1400000</v>
      </c>
      <c r="M19" s="147"/>
      <c r="N19" s="150"/>
      <c r="O19" s="150"/>
      <c r="P19" s="150"/>
      <c r="Q19" s="146"/>
      <c r="R19" s="141">
        <f t="shared" si="3"/>
        <v>0</v>
      </c>
      <c r="S19" s="116"/>
      <c r="T19" s="60"/>
      <c r="U19" s="60"/>
    </row>
    <row r="20" spans="1:21" ht="12.75">
      <c r="A20" s="7"/>
      <c r="B20" s="4">
        <v>3141</v>
      </c>
      <c r="C20" s="5" t="s">
        <v>15</v>
      </c>
      <c r="D20" s="143">
        <v>964</v>
      </c>
      <c r="E20" s="144">
        <f>6/6*-380</f>
        <v>-380</v>
      </c>
      <c r="F20" s="145"/>
      <c r="G20" s="144"/>
      <c r="H20" s="146">
        <f t="shared" si="4"/>
        <v>584</v>
      </c>
      <c r="I20" s="141">
        <f t="shared" si="2"/>
        <v>584</v>
      </c>
      <c r="J20" s="63">
        <f>4/4*161000*0+8/8*438000*0+12/12*584000</f>
        <v>584000</v>
      </c>
      <c r="K20" s="78"/>
      <c r="L20" s="79"/>
      <c r="M20" s="147"/>
      <c r="N20" s="150"/>
      <c r="O20" s="150"/>
      <c r="P20" s="150"/>
      <c r="Q20" s="146">
        <f t="shared" si="5"/>
        <v>0</v>
      </c>
      <c r="R20" s="141">
        <f t="shared" si="3"/>
        <v>0</v>
      </c>
      <c r="S20" s="116"/>
      <c r="T20" s="60"/>
      <c r="U20" s="60"/>
    </row>
    <row r="21" spans="1:21" ht="22.5" customHeight="1">
      <c r="A21" s="7"/>
      <c r="B21" s="4"/>
      <c r="C21" s="8">
        <f>J20+J21-3141/3141*(599736.08)</f>
        <v>0</v>
      </c>
      <c r="D21" s="143"/>
      <c r="E21" s="144"/>
      <c r="F21" s="145"/>
      <c r="G21" s="144"/>
      <c r="H21" s="146"/>
      <c r="I21" s="141">
        <f t="shared" si="2"/>
        <v>0</v>
      </c>
      <c r="J21" s="63">
        <f>(35895.77+2375.91+5589.16-43860.84*0)*0+3/3*70290.97*0+4/4*218754.46*0+5/5*177963.5*0+6/6*171686.17*0+7/7*181638.23*0+8/8*461081.36*0+9/9*476824.71*0+10/10*472989.41*0+12/12*227614.88*0+13/13*599736.08-5331/5331*(161000*0+8/8*438000*0+12/12*584000)</f>
        <v>15736.079999999958</v>
      </c>
      <c r="K21" s="82"/>
      <c r="L21" s="79"/>
      <c r="M21" s="147"/>
      <c r="N21" s="150"/>
      <c r="O21" s="150"/>
      <c r="P21" s="150"/>
      <c r="Q21" s="146"/>
      <c r="R21" s="141">
        <f t="shared" si="3"/>
        <v>0</v>
      </c>
      <c r="S21" s="116"/>
      <c r="T21" s="60"/>
      <c r="U21" s="60"/>
    </row>
    <row r="22" spans="1:21" ht="12.75">
      <c r="A22" s="7"/>
      <c r="B22" s="4">
        <v>3121</v>
      </c>
      <c r="C22" s="5" t="s">
        <v>16</v>
      </c>
      <c r="D22" s="143"/>
      <c r="E22" s="144"/>
      <c r="F22" s="145"/>
      <c r="G22" s="144"/>
      <c r="H22" s="146"/>
      <c r="I22" s="141">
        <f t="shared" si="2"/>
        <v>0</v>
      </c>
      <c r="J22" s="63">
        <f>(59919.34+7336.95-67256.29*0)*0+3/3*105172.4*0+4/4*78620.18*0+5/5*46538.2*0+6/6*28313.22*0+7/7*37525.15*0+8/8*31087.68*0+9/9*59297.07*0+10/10*66494.16*0+12/12*32724.78</f>
        <v>32724.78</v>
      </c>
      <c r="K22" s="82"/>
      <c r="L22" s="79"/>
      <c r="M22" s="147"/>
      <c r="N22" s="150"/>
      <c r="O22" s="150"/>
      <c r="P22" s="150"/>
      <c r="Q22" s="146"/>
      <c r="R22" s="141">
        <f t="shared" si="3"/>
        <v>0</v>
      </c>
      <c r="S22" s="116"/>
      <c r="T22" s="60"/>
      <c r="U22" s="60"/>
    </row>
    <row r="23" spans="1:21" ht="12.75">
      <c r="A23" s="7"/>
      <c r="B23" s="4">
        <v>3231</v>
      </c>
      <c r="C23" s="5" t="s">
        <v>17</v>
      </c>
      <c r="D23" s="143"/>
      <c r="E23" s="144"/>
      <c r="F23" s="145"/>
      <c r="G23" s="144"/>
      <c r="H23" s="146">
        <f t="shared" si="4"/>
        <v>0</v>
      </c>
      <c r="I23" s="141">
        <f t="shared" si="2"/>
        <v>0</v>
      </c>
      <c r="J23" s="63">
        <f>1221.64*0+3/3*596.17*0+4/4*0+6/6*596.16*0+8/8*1788.49*0+9/9*2384.65*0+10/10*-5.4</f>
        <v>-5.4</v>
      </c>
      <c r="K23" s="82"/>
      <c r="L23" s="79"/>
      <c r="M23" s="147"/>
      <c r="N23" s="150"/>
      <c r="O23" s="150"/>
      <c r="P23" s="150"/>
      <c r="Q23" s="146">
        <f t="shared" si="5"/>
        <v>0</v>
      </c>
      <c r="R23" s="141">
        <f t="shared" si="3"/>
        <v>0</v>
      </c>
      <c r="S23" s="116"/>
      <c r="T23" s="60"/>
      <c r="U23" s="60"/>
    </row>
    <row r="24" spans="1:19" s="279" customFormat="1" ht="12">
      <c r="A24" s="257" t="s">
        <v>207</v>
      </c>
      <c r="B24" s="275"/>
      <c r="C24" s="276">
        <f>J24+(J106+J109+J110+12/12*J125)-4/4*(1663058.76*0+7/7*1954557.67*0+8/8*4573617.53*0+9/9*6968760.1*0+10/10*7020524.91*0+12/12*10876555.71)</f>
        <v>0</v>
      </c>
      <c r="D24" s="151">
        <f>SUM(D15:D23)</f>
        <v>5174</v>
      </c>
      <c r="E24" s="152">
        <f>SUM(E15:E23)</f>
        <v>-270</v>
      </c>
      <c r="F24" s="121">
        <f>SUM(F15:F23)</f>
        <v>65</v>
      </c>
      <c r="G24" s="152"/>
      <c r="H24" s="153">
        <f t="shared" si="4"/>
        <v>4904</v>
      </c>
      <c r="I24" s="121">
        <f>SUM(I15:I23)</f>
        <v>4969</v>
      </c>
      <c r="J24" s="64">
        <f>SUM(J15:J23)</f>
        <v>5362485.21</v>
      </c>
      <c r="K24" s="277">
        <f>R24+(R106+R109+R110+R125)-4/4*(8/8*5970*0+12/12*6001.8)</f>
        <v>0</v>
      </c>
      <c r="L24" s="278">
        <f>S24+(S106+S109+S110+S125)-4/4*(7/7*3570000*0+8/8*5970000*0+12/12*6001800)</f>
        <v>0</v>
      </c>
      <c r="M24" s="151">
        <f>SUM(M15:M23)</f>
        <v>0</v>
      </c>
      <c r="N24" s="152">
        <f>SUM(N15:N23)</f>
        <v>0</v>
      </c>
      <c r="O24" s="152"/>
      <c r="P24" s="121">
        <f>SUM(P15:P23)</f>
        <v>0</v>
      </c>
      <c r="Q24" s="153">
        <f t="shared" si="5"/>
        <v>0</v>
      </c>
      <c r="R24" s="121">
        <f>SUM(R15:R23)</f>
        <v>0</v>
      </c>
      <c r="S24" s="117">
        <f>SUM(S15:S23)</f>
        <v>0</v>
      </c>
    </row>
    <row r="25" spans="1:21" ht="12.75">
      <c r="A25" s="7" t="s">
        <v>18</v>
      </c>
      <c r="B25" s="14">
        <v>3513</v>
      </c>
      <c r="C25" s="5" t="s">
        <v>19</v>
      </c>
      <c r="D25" s="143"/>
      <c r="E25" s="144"/>
      <c r="F25" s="160">
        <f>20052006/20052006*165</f>
        <v>165</v>
      </c>
      <c r="G25" s="144"/>
      <c r="H25" s="146">
        <f>D25+E25</f>
        <v>0</v>
      </c>
      <c r="I25" s="141">
        <f aca="true" t="shared" si="6" ref="I25:I86">H25+F25</f>
        <v>165</v>
      </c>
      <c r="J25" s="63">
        <f>9/9*238*0+13/13*164878</f>
        <v>164878</v>
      </c>
      <c r="K25" s="78"/>
      <c r="L25" s="79"/>
      <c r="M25" s="147"/>
      <c r="N25" s="150"/>
      <c r="O25" s="150"/>
      <c r="P25" s="145"/>
      <c r="Q25" s="146">
        <f>M25+N25</f>
        <v>0</v>
      </c>
      <c r="R25" s="161"/>
      <c r="S25" s="116"/>
      <c r="T25" s="60"/>
      <c r="U25" s="60"/>
    </row>
    <row r="26" spans="1:21" ht="12.75">
      <c r="A26" s="7" t="s">
        <v>18</v>
      </c>
      <c r="B26" s="14">
        <v>3541</v>
      </c>
      <c r="C26" s="5" t="s">
        <v>20</v>
      </c>
      <c r="D26" s="143"/>
      <c r="E26" s="144">
        <f>70*0</f>
        <v>0</v>
      </c>
      <c r="F26" s="145"/>
      <c r="G26" s="144"/>
      <c r="H26" s="146">
        <f aca="true" t="shared" si="7" ref="H26:H50">D26+E26</f>
        <v>0</v>
      </c>
      <c r="I26" s="141">
        <f t="shared" si="6"/>
        <v>0</v>
      </c>
      <c r="J26" s="65">
        <f>2000*0+3/3*2550*0+5/5*8650*0+12/12*8500</f>
        <v>8500</v>
      </c>
      <c r="K26" s="80"/>
      <c r="L26" s="84" t="s">
        <v>141</v>
      </c>
      <c r="M26" s="147"/>
      <c r="N26" s="144">
        <f>70*0</f>
        <v>0</v>
      </c>
      <c r="O26" s="144"/>
      <c r="P26" s="145"/>
      <c r="Q26" s="146">
        <f aca="true" t="shared" si="8" ref="Q26:Q50">M26+N26</f>
        <v>0</v>
      </c>
      <c r="R26" s="141">
        <f aca="true" t="shared" si="9" ref="R26:R86">Q26+P26</f>
        <v>0</v>
      </c>
      <c r="S26" s="116">
        <f>3/3*70000*0</f>
        <v>0</v>
      </c>
      <c r="T26" s="60"/>
      <c r="U26" s="60"/>
    </row>
    <row r="27" spans="1:21" ht="12.75">
      <c r="A27" s="7"/>
      <c r="B27" s="15" t="s">
        <v>21</v>
      </c>
      <c r="C27" s="5" t="s">
        <v>22</v>
      </c>
      <c r="D27" s="143"/>
      <c r="E27" s="144">
        <f>11983.5*0</f>
        <v>0</v>
      </c>
      <c r="F27" s="145"/>
      <c r="G27" s="144"/>
      <c r="H27" s="146">
        <f t="shared" si="7"/>
        <v>0</v>
      </c>
      <c r="I27" s="141">
        <f t="shared" si="6"/>
        <v>0</v>
      </c>
      <c r="J27" s="28">
        <f>71/71*(2/2)*(20931*0+33464*0+3/3*80850)+73/73*(10000*0+2/2*(46220*0+47860)*0+3/3*67006)+79/79*(52057*0+2/2*(87937*0+93927)*0+3/3*129773)+81/81*(2/2*-1500*0+3/3*0)+82/82*(7160*0+2/2*150120*0+3/3*158971)+3/3*(600*0+2/2*1200*0+3/3*1800)+4/4*(50000*0+2/2*145000*0+3/3*145000)+5/5*(660398*0+2/2*1130529*0+3/3*1645867)+6/6*(6500*0+2/2*32500*0+3/3*71500)-1/1*786715*0-2/2*1633100*0-3/3*2300767</f>
        <v>0</v>
      </c>
      <c r="K27" s="80" t="s">
        <v>142</v>
      </c>
      <c r="L27" s="84" t="s">
        <v>143</v>
      </c>
      <c r="M27" s="147"/>
      <c r="N27" s="144">
        <f>11983.5*0</f>
        <v>0</v>
      </c>
      <c r="O27" s="144"/>
      <c r="P27" s="145"/>
      <c r="Q27" s="146">
        <f t="shared" si="8"/>
        <v>0</v>
      </c>
      <c r="R27" s="141">
        <f t="shared" si="9"/>
        <v>0</v>
      </c>
      <c r="S27" s="118">
        <f>3640000*0+4/4*(9507+5000+5725+3400)*0+5/5*(1000-5725+5725)*0+6/6*(3000+1000-5725+6219)*0+7/7*(1000-5725+5725)*0+8/8*(3000+1000-5725+6104)*0+9/9*(4179/4179*0+4181/4181*1000+4182/4182*-5725+4185/4185*8225-3500)+10/10*(12/12*79/79*500+81/81*1000+82/82*-5725+85/85*5725)</f>
        <v>1500</v>
      </c>
      <c r="T27" s="60"/>
      <c r="U27" s="60"/>
    </row>
    <row r="28" spans="1:21" ht="12.75">
      <c r="A28" s="7"/>
      <c r="B28" s="15" t="s">
        <v>21</v>
      </c>
      <c r="C28" s="5" t="s">
        <v>23</v>
      </c>
      <c r="D28" s="143"/>
      <c r="E28" s="144">
        <f>7075*0</f>
        <v>0</v>
      </c>
      <c r="F28" s="145"/>
      <c r="G28" s="144"/>
      <c r="H28" s="146">
        <f t="shared" si="7"/>
        <v>0</v>
      </c>
      <c r="I28" s="141">
        <f t="shared" si="6"/>
        <v>0</v>
      </c>
      <c r="J28" s="28">
        <f>2/2*1950000*0+3/3*3125000*0</f>
        <v>0</v>
      </c>
      <c r="K28" s="80" t="s">
        <v>142</v>
      </c>
      <c r="L28" s="84" t="s">
        <v>144</v>
      </c>
      <c r="M28" s="147"/>
      <c r="N28" s="144">
        <f>7075*0</f>
        <v>0</v>
      </c>
      <c r="O28" s="144"/>
      <c r="P28" s="145"/>
      <c r="Q28" s="146">
        <f t="shared" si="8"/>
        <v>0</v>
      </c>
      <c r="R28" s="141">
        <f t="shared" si="9"/>
        <v>0</v>
      </c>
      <c r="S28" s="116">
        <f>2011320+3/3*1093000-3104320</f>
        <v>0</v>
      </c>
      <c r="T28" s="60"/>
      <c r="U28" s="60"/>
    </row>
    <row r="29" spans="1:21" ht="12.75">
      <c r="A29" s="7"/>
      <c r="B29" s="16" t="s">
        <v>24</v>
      </c>
      <c r="C29" s="5" t="s">
        <v>25</v>
      </c>
      <c r="D29" s="143"/>
      <c r="E29" s="144"/>
      <c r="F29" s="145"/>
      <c r="G29" s="144"/>
      <c r="H29" s="146">
        <f t="shared" si="7"/>
        <v>0</v>
      </c>
      <c r="I29" s="141">
        <f t="shared" si="6"/>
        <v>0</v>
      </c>
      <c r="J29" s="63">
        <f>7/7*(109166.94-5163/5163*33024)*0+8/8*(116300.74*0+9/9*117099.05*0+10/10*115356.65*0+12/12*122894.65-5163/5163*(37613*0+10/10*35076*0+12/12*42614))</f>
        <v>80280.65</v>
      </c>
      <c r="K29" s="78"/>
      <c r="L29" s="84" t="s">
        <v>145</v>
      </c>
      <c r="M29" s="147"/>
      <c r="N29" s="150"/>
      <c r="O29" s="150"/>
      <c r="P29" s="145"/>
      <c r="Q29" s="146">
        <f t="shared" si="8"/>
        <v>0</v>
      </c>
      <c r="R29" s="141">
        <f t="shared" si="9"/>
        <v>0</v>
      </c>
      <c r="S29" s="116"/>
      <c r="T29" s="60"/>
      <c r="U29" s="60"/>
    </row>
    <row r="30" spans="1:21" ht="12.75">
      <c r="A30" s="7"/>
      <c r="B30" s="16" t="s">
        <v>26</v>
      </c>
      <c r="C30" s="5" t="s">
        <v>27</v>
      </c>
      <c r="D30" s="143">
        <v>235</v>
      </c>
      <c r="E30" s="144">
        <v>-135</v>
      </c>
      <c r="F30" s="148">
        <f>2321/2321*(3/3*20+12/12*50)+12/12*104</f>
        <v>174</v>
      </c>
      <c r="G30" s="144"/>
      <c r="H30" s="146">
        <f t="shared" si="7"/>
        <v>100</v>
      </c>
      <c r="I30" s="141">
        <f t="shared" si="6"/>
        <v>274</v>
      </c>
      <c r="J30" s="63">
        <f>4883*0+5/5*9836.5*0+6/6*169375.5*0+9/9*174714</f>
        <v>174714</v>
      </c>
      <c r="K30" s="80"/>
      <c r="L30" s="84" t="s">
        <v>146</v>
      </c>
      <c r="M30" s="147"/>
      <c r="N30" s="150"/>
      <c r="O30" s="150"/>
      <c r="P30" s="159">
        <f>2321/2321*3/3*20*12/12*0</f>
        <v>0</v>
      </c>
      <c r="Q30" s="146">
        <f t="shared" si="8"/>
        <v>0</v>
      </c>
      <c r="R30" s="141">
        <f t="shared" si="9"/>
        <v>0</v>
      </c>
      <c r="S30" s="116"/>
      <c r="T30" s="60"/>
      <c r="U30" s="60"/>
    </row>
    <row r="31" spans="1:21" ht="12.75">
      <c r="A31" s="7"/>
      <c r="B31" s="16" t="s">
        <v>28</v>
      </c>
      <c r="C31" s="5" t="s">
        <v>29</v>
      </c>
      <c r="D31" s="143">
        <v>2030</v>
      </c>
      <c r="E31" s="144">
        <f>4375/4375*-(215-155)+60*0</f>
        <v>-60</v>
      </c>
      <c r="F31" s="160">
        <f>12/12*40</f>
        <v>40</v>
      </c>
      <c r="G31" s="144"/>
      <c r="H31" s="146">
        <f t="shared" si="7"/>
        <v>1970</v>
      </c>
      <c r="I31" s="141">
        <f t="shared" si="6"/>
        <v>2010</v>
      </c>
      <c r="J31" s="63">
        <f>(268812.31*0+273713.81*0+3/3*(410784.01+5801/5801*-1935)*0+4/4*(576266.36+5801/5801*-11608)*0+5/5*773478.6*0+6/6*918345.09*0+7/7*1050045.56*0+8/8*1151674.52*0+9/9*1318732.08*0+10/10*1508877.92*0+12/12*1801403.43+58013/58013*(-28248*0+7/7*-41632*0+8/8*-50560*0+9/9*-59488*0+10/10*-68128*0+12/12*-85696))-5518*(3/3)*0</f>
        <v>1715707.43</v>
      </c>
      <c r="K31" s="80"/>
      <c r="L31" s="84" t="s">
        <v>147</v>
      </c>
      <c r="M31" s="147">
        <v>1134</v>
      </c>
      <c r="N31" s="150"/>
      <c r="O31" s="150"/>
      <c r="P31" s="162">
        <f>1336-1134+12/12*-100</f>
        <v>102</v>
      </c>
      <c r="Q31" s="146">
        <f t="shared" si="8"/>
        <v>1134</v>
      </c>
      <c r="R31" s="141">
        <f t="shared" si="9"/>
        <v>1236</v>
      </c>
      <c r="S31" s="118">
        <f>202540*0+3/3*376380*0+4/4*472770*0+5/5*519610*0+6/6*645090*0+7/7*689450*0+8/8*843170*0+9/9*877770*0+10/10*1002050*0+12/12*1229733</f>
        <v>1229733</v>
      </c>
      <c r="T31" s="60"/>
      <c r="U31" s="60"/>
    </row>
    <row r="32" spans="1:21" ht="12.75">
      <c r="A32" s="17">
        <f>(1882+55)*0+(414-100-49)</f>
        <v>265</v>
      </c>
      <c r="B32" s="16" t="s">
        <v>30</v>
      </c>
      <c r="C32" s="5" t="s">
        <v>31</v>
      </c>
      <c r="D32" s="143">
        <v>1320</v>
      </c>
      <c r="E32" s="144"/>
      <c r="F32" s="163">
        <f>566*0+12/12*(562+(1/1*5163/5163*55))</f>
        <v>617</v>
      </c>
      <c r="G32" s="144"/>
      <c r="H32" s="146">
        <f t="shared" si="7"/>
        <v>1320</v>
      </c>
      <c r="I32" s="141">
        <f t="shared" si="6"/>
        <v>1937</v>
      </c>
      <c r="J32" s="63">
        <f>(173292.88*0+174282.88*0+3/3*(334821.18+5801/5801*-5696)*0+4/4*(513181.1+5801/5801*-6936)*0+5/5*660734.6*0+6/6*826732.01*0+7/7*955415.21*0+8/8*1103552.7*0+9/9*1259538.2*0+10/10*1439021.35*0+12/12*1932578.19)+1/1*((1912.69*0+3/3*2817.99*0+4/4*3786.23*0+5/5*(4627.94*0+5801/5801*-11058*0)+10/10*35076*0+12/12*(122894.65*0+5163/5163*42614))+28607*0+4/4*30937*0)+6/6*(107079.94+5801/5801*-11439)*0+7/7*(33024*0+8/8*37613*0+5801/5801*(-14939*0+10/10*-16032*0+12/12*-32648))+(7/7)*127*0+43512/43512*(4/4*11340*0+5/5*15120*0+6/6*18900*0+7/7*22680*0+8/8*26460*0+9/9*30240*0+10/10*34020*0+12/12*0)+4/4*(9/9)*11209*0</f>
        <v>1942544.19</v>
      </c>
      <c r="K32" s="80"/>
      <c r="L32" s="84" t="s">
        <v>148</v>
      </c>
      <c r="M32" s="147">
        <v>289</v>
      </c>
      <c r="N32" s="150"/>
      <c r="O32" s="150"/>
      <c r="P32" s="145">
        <f>444-289</f>
        <v>155</v>
      </c>
      <c r="Q32" s="146">
        <f t="shared" si="8"/>
        <v>289</v>
      </c>
      <c r="R32" s="141">
        <f t="shared" si="9"/>
        <v>444</v>
      </c>
      <c r="S32" s="118">
        <f>60987*0+3/3*91427*0+4/4*33900.5*0+5/5*163664.5*0+6/6*197801.5*0+7/7*232929*0+8/8*263737*0+9/9*299194*0+10/10*333243*0+12/12*417182</f>
        <v>417182</v>
      </c>
      <c r="T32" s="60"/>
      <c r="U32" s="60"/>
    </row>
    <row r="33" spans="1:21" ht="12.75" customHeight="1">
      <c r="A33" s="18">
        <f>J33+J34</f>
        <v>206845.5</v>
      </c>
      <c r="B33" s="14">
        <v>4319</v>
      </c>
      <c r="C33" s="5" t="s">
        <v>32</v>
      </c>
      <c r="D33" s="143"/>
      <c r="E33" s="144"/>
      <c r="F33" s="160">
        <f>12/12*74</f>
        <v>74</v>
      </c>
      <c r="G33" s="144"/>
      <c r="H33" s="146">
        <f t="shared" si="7"/>
        <v>0</v>
      </c>
      <c r="I33" s="141">
        <f t="shared" si="6"/>
        <v>74</v>
      </c>
      <c r="J33" s="63">
        <f>37594*0+3/3*42340*0+4/4*45868*0+5/5*49324*0+6/6*52642*0+7/7*56140*0+8/8*59732*0+9/9*63280*0+10/10*66788*0+12/12*74056</f>
        <v>74056</v>
      </c>
      <c r="K33" s="80"/>
      <c r="L33" s="85" t="s">
        <v>39</v>
      </c>
      <c r="M33" s="147"/>
      <c r="N33" s="150"/>
      <c r="O33" s="150"/>
      <c r="P33" s="145"/>
      <c r="Q33" s="146">
        <f t="shared" si="8"/>
        <v>0</v>
      </c>
      <c r="R33" s="141">
        <f t="shared" si="9"/>
        <v>0</v>
      </c>
      <c r="S33" s="116"/>
      <c r="T33" s="60"/>
      <c r="U33" s="60"/>
    </row>
    <row r="34" spans="1:21" ht="12.75" customHeight="1">
      <c r="A34" s="7" t="s">
        <v>39</v>
      </c>
      <c r="B34" s="14">
        <v>4379</v>
      </c>
      <c r="C34" s="5" t="s">
        <v>40</v>
      </c>
      <c r="D34" s="143"/>
      <c r="E34" s="144">
        <f>5/5*44</f>
        <v>44</v>
      </c>
      <c r="F34" s="148">
        <f>2321/2321*345678/345678*7.4+60+(10-7)+12/12*35.1</f>
        <v>105.5</v>
      </c>
      <c r="G34" s="144"/>
      <c r="H34" s="146">
        <f>D34+E34</f>
        <v>44</v>
      </c>
      <c r="I34" s="141">
        <f>H34+F34</f>
        <v>149.5</v>
      </c>
      <c r="J34" s="63">
        <f>5/5*51414*0+6/6*69894*0+7/7*90584*0+8/8*53114*0+9/9*47194*0+10/10*80754*0+12/12*121844+2412/2412*10945.5</f>
        <v>132789.5</v>
      </c>
      <c r="K34" s="87"/>
      <c r="L34" s="84"/>
      <c r="M34" s="147"/>
      <c r="N34" s="150"/>
      <c r="O34" s="150"/>
      <c r="P34" s="159">
        <f>2321/2321*345678/345678*7.4*12/12*0</f>
        <v>0</v>
      </c>
      <c r="Q34" s="146"/>
      <c r="R34" s="141">
        <f>Q34+P34</f>
        <v>0</v>
      </c>
      <c r="S34" s="116"/>
      <c r="T34" s="60"/>
      <c r="U34" s="60"/>
    </row>
    <row r="35" spans="1:21" ht="12.75">
      <c r="A35" s="7" t="s">
        <v>33</v>
      </c>
      <c r="B35" s="19" t="s">
        <v>34</v>
      </c>
      <c r="C35" s="20" t="s">
        <v>35</v>
      </c>
      <c r="D35" s="143">
        <v>215</v>
      </c>
      <c r="E35" s="144">
        <f>265*0-215</f>
        <v>-215</v>
      </c>
      <c r="F35" s="160">
        <f>12/12*28</f>
        <v>28</v>
      </c>
      <c r="G35" s="144"/>
      <c r="H35" s="146">
        <f t="shared" si="7"/>
        <v>0</v>
      </c>
      <c r="I35" s="141">
        <f t="shared" si="6"/>
        <v>28</v>
      </c>
      <c r="J35" s="63">
        <f>0+3/3*56*0+4/4*817.5*0+5/5*1115.5*0+4329/4329*760.5*0+7/7*48115.5*0+8/8*28579.5*0+12/12*34175.65</f>
        <v>34175.65</v>
      </c>
      <c r="K35" s="80"/>
      <c r="L35" s="79"/>
      <c r="M35" s="147"/>
      <c r="N35" s="150"/>
      <c r="O35" s="150"/>
      <c r="P35" s="145"/>
      <c r="Q35" s="146">
        <f t="shared" si="8"/>
        <v>0</v>
      </c>
      <c r="R35" s="141">
        <f t="shared" si="9"/>
        <v>0</v>
      </c>
      <c r="S35" s="116"/>
      <c r="T35" s="60"/>
      <c r="U35" s="60"/>
    </row>
    <row r="36" spans="1:21" ht="12.75" customHeight="1">
      <c r="A36" s="21">
        <f>174120+1929+738+300+300+50+1/1*600+5801/5801*-842</f>
        <v>177195</v>
      </c>
      <c r="B36" s="16" t="s">
        <v>36</v>
      </c>
      <c r="C36" s="5" t="s">
        <v>37</v>
      </c>
      <c r="D36" s="143"/>
      <c r="E36" s="144">
        <f>265-215*0</f>
        <v>265</v>
      </c>
      <c r="F36" s="145"/>
      <c r="G36" s="144"/>
      <c r="H36" s="146">
        <f t="shared" si="7"/>
        <v>265</v>
      </c>
      <c r="I36" s="141">
        <f t="shared" si="6"/>
        <v>265</v>
      </c>
      <c r="J36" s="63">
        <f>4375/4375*((22206+3/3*14488-36694*0)*0+4/4*52994*0+5/5*68024*0+6/6*(84137.5*0+7/7*96125.5*0+8/8*(110948.5-81/81*1055.5)*0+9/9*(128145.5-81/81*3258.5)*0+10/10*(197441.5*0+12/12*305416-81/81*(7719.5*0+51056*0+13/13*78979)-98064/98064*49000)+5801/5801*-842))+4379/4379*((10650+3/3*1144-11794*0)*0+4/4*34984*0)-(2/2)*32856*0+1/1*9/9*600</f>
        <v>177195</v>
      </c>
      <c r="K36" s="78"/>
      <c r="L36" s="84" t="s">
        <v>149</v>
      </c>
      <c r="M36" s="147"/>
      <c r="N36" s="150"/>
      <c r="O36" s="150"/>
      <c r="P36" s="145"/>
      <c r="Q36" s="146">
        <f t="shared" si="8"/>
        <v>0</v>
      </c>
      <c r="R36" s="141">
        <f t="shared" si="9"/>
        <v>0</v>
      </c>
      <c r="S36" s="116"/>
      <c r="T36" s="60"/>
      <c r="U36" s="60"/>
    </row>
    <row r="37" spans="1:21" ht="12.75" customHeight="1">
      <c r="A37" s="7"/>
      <c r="B37" s="14"/>
      <c r="C37" s="5" t="s">
        <v>38</v>
      </c>
      <c r="D37" s="143"/>
      <c r="E37" s="144"/>
      <c r="F37" s="145"/>
      <c r="G37" s="144"/>
      <c r="H37" s="146">
        <f t="shared" si="7"/>
        <v>0</v>
      </c>
      <c r="I37" s="141">
        <f t="shared" si="6"/>
        <v>0</v>
      </c>
      <c r="J37" s="63">
        <f>23833.5*0+25261.5*0+3/3*56011.6</f>
        <v>56011.6</v>
      </c>
      <c r="K37" s="86" t="s">
        <v>150</v>
      </c>
      <c r="L37" s="84"/>
      <c r="M37" s="147"/>
      <c r="N37" s="150"/>
      <c r="O37" s="150"/>
      <c r="P37" s="145"/>
      <c r="Q37" s="146">
        <f t="shared" si="8"/>
        <v>0</v>
      </c>
      <c r="R37" s="141">
        <f t="shared" si="9"/>
        <v>0</v>
      </c>
      <c r="S37" s="116"/>
      <c r="T37" s="60"/>
      <c r="U37" s="60"/>
    </row>
    <row r="38" spans="1:21" ht="12.75">
      <c r="A38" s="22"/>
      <c r="B38" s="16" t="s">
        <v>41</v>
      </c>
      <c r="C38" s="5" t="s">
        <v>42</v>
      </c>
      <c r="D38" s="143">
        <v>930</v>
      </c>
      <c r="E38" s="144">
        <f>4375/4375*-155</f>
        <v>-155</v>
      </c>
      <c r="F38" s="145">
        <f>705-775</f>
        <v>-70</v>
      </c>
      <c r="G38" s="144"/>
      <c r="H38" s="146">
        <f t="shared" si="7"/>
        <v>775</v>
      </c>
      <c r="I38" s="141">
        <f t="shared" si="6"/>
        <v>705</v>
      </c>
      <c r="J38" s="63">
        <f>121103.05*0+3/3*224087.39*0+4/4*334324.88*0+5/5*426412.08*0+6/6*514115.7*0+7/7*640514.7*0+8/8*685580.56*0+9/9*715186.56*0+12/12*720829.56+5801/5801*(-3589*0+6/6*-12135)+1/1*(730*0+4/4*1495*0+7/7*2169*0+10/10*2354)</f>
        <v>711048.56</v>
      </c>
      <c r="K38" s="80"/>
      <c r="L38" s="84" t="s">
        <v>151</v>
      </c>
      <c r="M38" s="147">
        <v>201</v>
      </c>
      <c r="N38" s="150">
        <f>-125+125</f>
        <v>0</v>
      </c>
      <c r="O38" s="150"/>
      <c r="P38" s="162">
        <f>90-201+12/12*8</f>
        <v>-103</v>
      </c>
      <c r="Q38" s="146">
        <f t="shared" si="8"/>
        <v>201</v>
      </c>
      <c r="R38" s="141">
        <f t="shared" si="9"/>
        <v>98</v>
      </c>
      <c r="S38" s="118">
        <f>3831*0+3/3*7486*0+4/4*13179*0+8600*0+3/3*21600*0+4/4*32400*0+5/5*(17903+43200)*0+6/6*(30893+52800)*0+7/7*(35984*0+12/12*43926+(52800*0+9/9*54398))</f>
        <v>98324</v>
      </c>
      <c r="T38" s="60"/>
      <c r="U38" s="60"/>
    </row>
    <row r="39" spans="1:19" s="279" customFormat="1" ht="12">
      <c r="A39" s="257" t="s">
        <v>208</v>
      </c>
      <c r="B39" s="275"/>
      <c r="C39" s="276">
        <f>J39+J103+J104+J105+J111+J121+J122-14782217.51*0+8/8*-16803312.62*0+9/9*-(18634763.49-6171/6171*-2460)*0+10/10*-(20581684.08-6171/6171*20)*0-12/12*25360293.78</f>
        <v>13591</v>
      </c>
      <c r="D39" s="151">
        <f>SUM(D25:D38)</f>
        <v>4730</v>
      </c>
      <c r="E39" s="152">
        <f>SUM(E25:E38)</f>
        <v>-256</v>
      </c>
      <c r="F39" s="121">
        <f>SUM(F25:F38)</f>
        <v>1133.5</v>
      </c>
      <c r="G39" s="152"/>
      <c r="H39" s="153">
        <f t="shared" si="7"/>
        <v>4474</v>
      </c>
      <c r="I39" s="121">
        <f>SUM(I25:I38)</f>
        <v>5607.5</v>
      </c>
      <c r="J39" s="64">
        <f>SUM(J25:J38)</f>
        <v>5271900.58</v>
      </c>
      <c r="K39" s="277">
        <f>R39+R103+R104+R105+R111+R121+R122-(8/8*25139.5*0+9/9*29709.5*0+10/10*29837.5*0+12/12*23108)</f>
        <v>0</v>
      </c>
      <c r="L39" s="278">
        <f>S39+S103+S104+S105+S111+S121+S122-(7/7*14024163*0+8/8*15955070*0+9/9*17585846*0+10/10*19650675*0+12/12*23076739)</f>
        <v>0</v>
      </c>
      <c r="M39" s="151">
        <f>SUM(M25:M38)</f>
        <v>1624</v>
      </c>
      <c r="N39" s="152">
        <f>SUM(N25:N38)</f>
        <v>0</v>
      </c>
      <c r="O39" s="152"/>
      <c r="P39" s="121">
        <f>SUM(P25:P38)</f>
        <v>154</v>
      </c>
      <c r="Q39" s="153">
        <f t="shared" si="8"/>
        <v>1624</v>
      </c>
      <c r="R39" s="121">
        <f>SUM(R25:R38)</f>
        <v>1778</v>
      </c>
      <c r="S39" s="117">
        <f>SUM(S25:S38)</f>
        <v>1746739</v>
      </c>
    </row>
    <row r="40" spans="1:21" ht="12.75">
      <c r="A40" s="7" t="s">
        <v>43</v>
      </c>
      <c r="B40" s="4">
        <v>3313</v>
      </c>
      <c r="C40" s="5" t="s">
        <v>44</v>
      </c>
      <c r="D40" s="143">
        <v>683</v>
      </c>
      <c r="E40" s="144">
        <f>(-147-38-13+198)-(198-24)-6.5*0-6112/6112*(20+4)</f>
        <v>-198</v>
      </c>
      <c r="F40" s="155"/>
      <c r="G40" s="146"/>
      <c r="H40" s="146">
        <f t="shared" si="7"/>
        <v>485</v>
      </c>
      <c r="I40" s="141">
        <f t="shared" si="6"/>
        <v>485</v>
      </c>
      <c r="J40" s="63">
        <f>(107113+607)*0+3/3*(178438+607)*0+4/4*258679*0+6/6*393328*0+7/7*438149*0+8/8*493098*0+9/9*556816.5*0+10/10*624122.5*0+12/12*(461204.5+(9/9)*3663*13/13*0)+1/1*(1190*0+7/7*1697*0+10/10*2242)</f>
        <v>463446.5</v>
      </c>
      <c r="K40" s="80"/>
      <c r="L40" s="79"/>
      <c r="M40" s="147"/>
      <c r="N40" s="150"/>
      <c r="O40" s="150"/>
      <c r="P40" s="155"/>
      <c r="Q40" s="146">
        <f t="shared" si="8"/>
        <v>0</v>
      </c>
      <c r="R40" s="141">
        <f t="shared" si="9"/>
        <v>0</v>
      </c>
      <c r="S40" s="118">
        <f>1146*0+3/3*3018*0+4/4*495*0+5/5*1788*0+6/6*2681*0+7/7*251*0+9/9*44214*0+10/10*637*0*12/12</f>
        <v>0</v>
      </c>
      <c r="T40" s="60"/>
      <c r="U40" s="60"/>
    </row>
    <row r="41" spans="1:21" ht="12.75">
      <c r="A41" s="7">
        <f>1869.4+3-39.8</f>
        <v>1832.6000000000001</v>
      </c>
      <c r="B41" s="4">
        <v>3314</v>
      </c>
      <c r="C41" s="5" t="s">
        <v>45</v>
      </c>
      <c r="D41" s="143">
        <v>1082</v>
      </c>
      <c r="E41" s="144">
        <f>403+105+36+121+10</f>
        <v>675</v>
      </c>
      <c r="F41" s="148">
        <f>2321/2321*3/3*33.6+8/8*5*0+11/11*(2+5)+12/12*35</f>
        <v>75.6</v>
      </c>
      <c r="G41" s="146"/>
      <c r="H41" s="146">
        <f t="shared" si="7"/>
        <v>1757</v>
      </c>
      <c r="I41" s="141">
        <f t="shared" si="6"/>
        <v>1832.6</v>
      </c>
      <c r="J41" s="63">
        <f>(176627.15+1300-12575)*0+3/3*(354683.9+1300-25567)*0+4/4*526877.98*0+6/6*(828324.26*0+7/7*949039.99*0+8/8*1078329.43*0+9/9*1244845.37*0+10/10*1376954.42*0+12/12*1774685.97+1/1*(2382*0+7/7*3410*0+10/10*4328)+5801/5801*(-37631*0+6/6*-40476)-81/81*39800)</f>
        <v>1698737.97</v>
      </c>
      <c r="K41" s="88">
        <f>1793.8-39.8+3-H41</f>
        <v>0</v>
      </c>
      <c r="L41" s="79"/>
      <c r="M41" s="147">
        <v>107</v>
      </c>
      <c r="N41" s="150"/>
      <c r="O41" s="150"/>
      <c r="P41" s="159">
        <f>(2321/2321*3/3*33.6+8/8*5)*12/12*0</f>
        <v>0</v>
      </c>
      <c r="Q41" s="146">
        <f t="shared" si="8"/>
        <v>107</v>
      </c>
      <c r="R41" s="141">
        <f t="shared" si="9"/>
        <v>107</v>
      </c>
      <c r="S41" s="118">
        <f>10385*0+3/3*17686*0+4/4*23417.5*0+5/5*28125.5*0+6/6*35540*0+7/7*38629.5*0+8/8*42247*0+10/10*48675*0+12/12*111802</f>
        <v>111802</v>
      </c>
      <c r="T41" s="60"/>
      <c r="U41" s="60"/>
    </row>
    <row r="42" spans="1:21" ht="12.75" customHeight="1">
      <c r="A42" s="7"/>
      <c r="B42" s="23" t="s">
        <v>46</v>
      </c>
      <c r="C42" s="5" t="s">
        <v>47</v>
      </c>
      <c r="D42" s="143"/>
      <c r="E42" s="144"/>
      <c r="F42" s="155"/>
      <c r="G42" s="146"/>
      <c r="H42" s="146">
        <f t="shared" si="7"/>
        <v>0</v>
      </c>
      <c r="I42" s="141">
        <f t="shared" si="6"/>
        <v>0</v>
      </c>
      <c r="J42" s="63">
        <f>0+7/7*1000*0+8/8*2000*0+9/9*3000*0+10/10*4000*0+12/12*7000</f>
        <v>7000</v>
      </c>
      <c r="K42" s="80"/>
      <c r="L42" s="79"/>
      <c r="M42" s="147"/>
      <c r="N42" s="150"/>
      <c r="O42" s="150"/>
      <c r="P42" s="155"/>
      <c r="Q42" s="146"/>
      <c r="R42" s="141">
        <f t="shared" si="9"/>
        <v>0</v>
      </c>
      <c r="S42" s="116"/>
      <c r="T42" s="60"/>
      <c r="U42" s="60"/>
    </row>
    <row r="43" spans="1:21" ht="12.75" customHeight="1">
      <c r="A43" s="24" t="s">
        <v>48</v>
      </c>
      <c r="B43" s="4">
        <v>3319</v>
      </c>
      <c r="C43" s="5" t="s">
        <v>49</v>
      </c>
      <c r="D43" s="143">
        <v>608</v>
      </c>
      <c r="E43" s="144">
        <f>55-34+6+2+1</f>
        <v>30</v>
      </c>
      <c r="F43" s="154">
        <f>2321/2321*(11/11*30+12/12*38)+12/12*130</f>
        <v>198</v>
      </c>
      <c r="G43" s="146"/>
      <c r="H43" s="146">
        <f t="shared" si="7"/>
        <v>638</v>
      </c>
      <c r="I43" s="141">
        <f t="shared" si="6"/>
        <v>836</v>
      </c>
      <c r="J43" s="63">
        <f>(93059.04+334)*0+3/3*(153372.04+334)*0+4/4*208792.54*0+6/6*(323891.22*0+7/7*356039.22*0+8/8*392051.22*0+9/9*436564.29*0+10/10*553410.79*0+12/12*642657.19*0+13/13*646320.19+1/1*(707*0+7/7*1047*0+10/10*1330))+5801/5801*(9/9*-9631*0+12/12*-12843)+13102007/13102007*8000+2412/2412*283.5</f>
        <v>643090.69</v>
      </c>
      <c r="K43" s="80"/>
      <c r="L43" s="79"/>
      <c r="M43" s="147">
        <v>155</v>
      </c>
      <c r="N43" s="150"/>
      <c r="O43" s="150"/>
      <c r="P43" s="164">
        <f>12/12*-25</f>
        <v>-25</v>
      </c>
      <c r="Q43" s="146">
        <f t="shared" si="8"/>
        <v>155</v>
      </c>
      <c r="R43" s="141">
        <f t="shared" si="9"/>
        <v>130</v>
      </c>
      <c r="S43" s="118">
        <f>9248*0+3/3*8748*0+4/4*18338*0+5/5*36558*0+6/6*46978*0+8/8*9508*0+9/9*12508*0+10/10*101108*0+12/12*(125708+2412/2412*5158.5)</f>
        <v>130866.5</v>
      </c>
      <c r="T43" s="60"/>
      <c r="U43" s="60"/>
    </row>
    <row r="44" spans="1:21" ht="12.75">
      <c r="A44" s="24" t="s">
        <v>50</v>
      </c>
      <c r="B44" s="4">
        <v>3412</v>
      </c>
      <c r="C44" s="5" t="s">
        <v>51</v>
      </c>
      <c r="D44" s="143"/>
      <c r="E44" s="144">
        <f>5/5*(27.8+17.1+112.7-157.6)+(157.6-2/2*55)</f>
        <v>102.60000000000002</v>
      </c>
      <c r="F44" s="160">
        <f>85-102.6+4387/4387*60+8829/8829*112.6</f>
        <v>155</v>
      </c>
      <c r="G44" s="144"/>
      <c r="H44" s="146">
        <f t="shared" si="7"/>
        <v>102.60000000000002</v>
      </c>
      <c r="I44" s="141">
        <f t="shared" si="6"/>
        <v>257.6</v>
      </c>
      <c r="J44" s="63">
        <f>(107100+355872.2)*0+3/3*(13400+8233/8233*(178500+8290/8290*355072.2))*0+4/4*(32170.8*0+8829/8829*112699.6)+6/6*(64777.4*0+10/10*67450.4*0+12/12*75273.4+1/1*11682+153/153*219)+8233/8233*((9/9)*10/10*2200*0+12/12*3300+13/13*0.3)+4387/4387*12/12*(210035-150000)*0+13/13*60035</f>
        <v>263209.3</v>
      </c>
      <c r="K44" s="88">
        <f>45+112.6-H44</f>
        <v>54.99999999999997</v>
      </c>
      <c r="L44" s="79"/>
      <c r="M44" s="147"/>
      <c r="N44" s="150"/>
      <c r="O44" s="150"/>
      <c r="P44" s="145"/>
      <c r="Q44" s="146">
        <f t="shared" si="8"/>
        <v>0</v>
      </c>
      <c r="R44" s="141">
        <f t="shared" si="9"/>
        <v>0</v>
      </c>
      <c r="S44" s="116"/>
      <c r="T44" s="60"/>
      <c r="U44" s="60"/>
    </row>
    <row r="45" spans="1:19" s="279" customFormat="1" ht="12">
      <c r="A45" s="257" t="s">
        <v>209</v>
      </c>
      <c r="B45" s="275"/>
      <c r="C45" s="276">
        <f>J45+J99+J112+J113+J114-(6/6)*(7/7*3504206.81*0+8/8*3725457.25*0+9/9*3991573.76*0+10/10*4321254.31*0+12/12*9503994.06+(9/9)*2200*0+12/12*3663)</f>
        <v>0</v>
      </c>
      <c r="D45" s="151">
        <f>SUM(D40:D44)</f>
        <v>2373</v>
      </c>
      <c r="E45" s="152">
        <f>SUM(E40:E44)</f>
        <v>609.6</v>
      </c>
      <c r="F45" s="121">
        <f>SUM(F40:F44)</f>
        <v>428.6</v>
      </c>
      <c r="G45" s="152"/>
      <c r="H45" s="153">
        <f t="shared" si="7"/>
        <v>2982.6</v>
      </c>
      <c r="I45" s="121">
        <f>SUM(I40:I44)</f>
        <v>3411.2</v>
      </c>
      <c r="J45" s="64">
        <f>SUM(J40:J44)</f>
        <v>3075484.4599999995</v>
      </c>
      <c r="K45" s="277">
        <f>R45+R85+R99+R112+R113+R114-(6/6)*(8/8*6451.8*0+12/12*6426.8)</f>
        <v>0</v>
      </c>
      <c r="L45" s="278">
        <f>S45+S85+S99+S112+S113+S114-(6/6)*(7/7*1234548.22*0+8/8*1200695.72*0+9/9*1247658.72*0+10/10*1299109.72*0+12/12*6391358.22)</f>
        <v>0</v>
      </c>
      <c r="M45" s="151">
        <f>SUM(M40:M44)</f>
        <v>262</v>
      </c>
      <c r="N45" s="152">
        <f>SUM(N40:N44)</f>
        <v>0</v>
      </c>
      <c r="O45" s="152"/>
      <c r="P45" s="121">
        <f>SUM(P40:P44)</f>
        <v>-25</v>
      </c>
      <c r="Q45" s="153">
        <f t="shared" si="8"/>
        <v>262</v>
      </c>
      <c r="R45" s="121">
        <f>SUM(R40:R44)</f>
        <v>237</v>
      </c>
      <c r="S45" s="117">
        <f>SUM(S40:S44)</f>
        <v>242668.5</v>
      </c>
    </row>
    <row r="46" spans="1:21" ht="12.75">
      <c r="A46" s="7" t="s">
        <v>52</v>
      </c>
      <c r="B46" s="4">
        <v>5512</v>
      </c>
      <c r="C46" s="5" t="s">
        <v>53</v>
      </c>
      <c r="D46" s="143">
        <v>95</v>
      </c>
      <c r="E46" s="146"/>
      <c r="F46" s="165">
        <f>(433+5+8895/8895*58)-81/81*200-(90+5)</f>
        <v>201</v>
      </c>
      <c r="G46" s="146"/>
      <c r="H46" s="146">
        <f t="shared" si="7"/>
        <v>95</v>
      </c>
      <c r="I46" s="141">
        <f t="shared" si="6"/>
        <v>296</v>
      </c>
      <c r="J46" s="63">
        <f>(42533.18*0+44479.18*0+3/3*55995.18*0+4/4*218002.18*0+6/6*265416.48*0+7/7*(286636.98-81/81*182126.5)*0+8/8*(300832.48-81/81*192395.5)*0+9/9*(309516.06-81/81*196395.5)*0+10/10*(317495.06*0+12/12*327760.06-81/81*(196895.5*0+12/12*197495.5*0+13/13*200000)))+(5/5)*127*0+1/1*4589</f>
        <v>132349.06</v>
      </c>
      <c r="K46" s="80"/>
      <c r="L46" s="79"/>
      <c r="M46" s="147"/>
      <c r="N46" s="150"/>
      <c r="O46" s="150"/>
      <c r="P46" s="155"/>
      <c r="Q46" s="146">
        <f t="shared" si="8"/>
        <v>0</v>
      </c>
      <c r="R46" s="141">
        <f t="shared" si="9"/>
        <v>0</v>
      </c>
      <c r="S46" s="116"/>
      <c r="T46" s="60"/>
      <c r="U46" s="60"/>
    </row>
    <row r="47" spans="1:21" ht="12.75" customHeight="1">
      <c r="A47" s="7"/>
      <c r="B47" s="4">
        <v>5512</v>
      </c>
      <c r="C47" s="5" t="s">
        <v>54</v>
      </c>
      <c r="D47" s="143"/>
      <c r="E47" s="144"/>
      <c r="F47" s="145"/>
      <c r="G47" s="144"/>
      <c r="H47" s="146">
        <f t="shared" si="7"/>
        <v>0</v>
      </c>
      <c r="I47" s="141">
        <f t="shared" si="6"/>
        <v>0</v>
      </c>
      <c r="J47" s="63">
        <f>147553-2006/2006*90092</f>
        <v>57461</v>
      </c>
      <c r="K47" s="80" t="s">
        <v>152</v>
      </c>
      <c r="L47" s="79"/>
      <c r="M47" s="147"/>
      <c r="N47" s="150"/>
      <c r="O47" s="150"/>
      <c r="P47" s="145"/>
      <c r="Q47" s="146">
        <f t="shared" si="8"/>
        <v>0</v>
      </c>
      <c r="R47" s="141">
        <f t="shared" si="9"/>
        <v>0</v>
      </c>
      <c r="S47" s="116"/>
      <c r="T47" s="60"/>
      <c r="U47" s="60"/>
    </row>
    <row r="48" spans="1:19" s="279" customFormat="1" ht="12">
      <c r="A48" s="257" t="s">
        <v>210</v>
      </c>
      <c r="B48" s="275"/>
      <c r="C48" s="276">
        <f>J48+J100+J123-(7/7)*(7/7*434189.98*0+8/8*448385.48*0+9/9*457069.06*0+10/10*469637.06*0+12/12*479902.06)</f>
        <v>0</v>
      </c>
      <c r="D48" s="151">
        <f>SUM(D46:D47)</f>
        <v>95</v>
      </c>
      <c r="E48" s="152">
        <f>SUM(E46:E47)</f>
        <v>0</v>
      </c>
      <c r="F48" s="121">
        <f>SUM(F46:F47)</f>
        <v>201</v>
      </c>
      <c r="G48" s="152"/>
      <c r="H48" s="153">
        <f t="shared" si="7"/>
        <v>95</v>
      </c>
      <c r="I48" s="121">
        <f>SUM(I46:I47)</f>
        <v>296</v>
      </c>
      <c r="J48" s="64">
        <f>SUM(J46:J47)</f>
        <v>189810.06</v>
      </c>
      <c r="K48" s="277">
        <f>R48+R100+R123-(7/7)*7/7*200</f>
        <v>0</v>
      </c>
      <c r="L48" s="278">
        <f>S48+S100+S123-(7/7)*7/7*200000</f>
        <v>0</v>
      </c>
      <c r="M48" s="151">
        <f>SUM(M46:M47)</f>
        <v>0</v>
      </c>
      <c r="N48" s="152">
        <f>SUM(N46:N47)</f>
        <v>0</v>
      </c>
      <c r="O48" s="152"/>
      <c r="P48" s="121">
        <f>SUM(P46:P47)</f>
        <v>0</v>
      </c>
      <c r="Q48" s="153">
        <f t="shared" si="8"/>
        <v>0</v>
      </c>
      <c r="R48" s="121">
        <f>SUM(R46:R47)</f>
        <v>0</v>
      </c>
      <c r="S48" s="117">
        <f>SUM(S46:S47)</f>
        <v>0</v>
      </c>
    </row>
    <row r="49" spans="1:21" ht="12.75">
      <c r="A49" s="7" t="s">
        <v>55</v>
      </c>
      <c r="B49" s="4">
        <v>3612</v>
      </c>
      <c r="C49" s="5" t="s">
        <v>56</v>
      </c>
      <c r="D49" s="143">
        <v>1000</v>
      </c>
      <c r="E49" s="146"/>
      <c r="F49" s="157">
        <v>-1000</v>
      </c>
      <c r="G49" s="146"/>
      <c r="H49" s="146">
        <f t="shared" si="7"/>
        <v>1000</v>
      </c>
      <c r="I49" s="141">
        <f t="shared" si="6"/>
        <v>0</v>
      </c>
      <c r="J49" s="63">
        <f>49868*0+3/3*103968*0+4/4*(181086+1/1*536)*0+6/6*(291646*0+7/7*327177*0+8/8*(381328-353733)-27595+9/9*(81811-27595)*0+10/10*(135419-27595*0)*0+12/12*0+1/1*(536*0+7/7*1046*0+10/10*1547)*0)+10/10*1062/1062*468*12/12*0</f>
        <v>0</v>
      </c>
      <c r="K49" s="78"/>
      <c r="L49" s="79"/>
      <c r="M49" s="147"/>
      <c r="N49" s="150"/>
      <c r="O49" s="150"/>
      <c r="P49" s="150"/>
      <c r="Q49" s="146">
        <f t="shared" si="8"/>
        <v>0</v>
      </c>
      <c r="R49" s="141">
        <f t="shared" si="9"/>
        <v>0</v>
      </c>
      <c r="S49" s="116"/>
      <c r="T49" s="60"/>
      <c r="U49" s="60"/>
    </row>
    <row r="50" spans="1:21" ht="12.75">
      <c r="A50" s="7"/>
      <c r="B50" s="4">
        <v>3639</v>
      </c>
      <c r="C50" s="5" t="s">
        <v>57</v>
      </c>
      <c r="D50" s="143">
        <v>6650</v>
      </c>
      <c r="E50" s="144">
        <f>6/6*-500+269.5</f>
        <v>-230.5</v>
      </c>
      <c r="F50" s="165">
        <f>102.7</f>
        <v>102.7</v>
      </c>
      <c r="G50" s="146"/>
      <c r="H50" s="146">
        <f t="shared" si="7"/>
        <v>6419.5</v>
      </c>
      <c r="I50" s="141">
        <f t="shared" si="6"/>
        <v>6522.2</v>
      </c>
      <c r="J50" s="63">
        <f>847000*0+3/3*1108000*0+4/4*1812000*0+6/6*3359489.42*0+7/7*3909489.42*0+8/8*4429489.42+9/9*600000+10/10*500000+11/11*1002700+13/13*-102157.66</f>
        <v>6430031.76</v>
      </c>
      <c r="K50" s="89"/>
      <c r="L50" s="79"/>
      <c r="M50" s="147"/>
      <c r="N50" s="150"/>
      <c r="O50" s="150"/>
      <c r="P50" s="150"/>
      <c r="Q50" s="146">
        <f t="shared" si="8"/>
        <v>0</v>
      </c>
      <c r="R50" s="141">
        <f t="shared" si="9"/>
        <v>0</v>
      </c>
      <c r="S50" s="116"/>
      <c r="T50" s="60"/>
      <c r="U50" s="60"/>
    </row>
    <row r="51" spans="1:21" ht="22.5" customHeight="1">
      <c r="A51" s="7"/>
      <c r="B51" s="4"/>
      <c r="C51" s="25" t="s">
        <v>58</v>
      </c>
      <c r="D51" s="143"/>
      <c r="E51" s="146"/>
      <c r="F51" s="155"/>
      <c r="G51" s="146"/>
      <c r="H51" s="146"/>
      <c r="I51" s="141">
        <f t="shared" si="6"/>
        <v>0</v>
      </c>
      <c r="J51" s="63">
        <f>29000-3/3*29000+21032-3/3*21032+5484.02-3/3*2426.39+4/4*(-3057.63+29000+6220.44)*0-3057.63+6/6*(-17352+5040+5920.47)*0+5153/5153*7/7*-17352+5154/5154*(10080*0+9/9*26589.5*0+10/10*17640*0+12/12*10080)+5162/5162*(8222.53*0+8/8*3057.63*0+9/9*6428*0+10/10*3057.63)</f>
        <v>-4214.37</v>
      </c>
      <c r="K51" s="78"/>
      <c r="L51" s="79"/>
      <c r="M51" s="147"/>
      <c r="N51" s="150"/>
      <c r="O51" s="150"/>
      <c r="P51" s="150"/>
      <c r="Q51" s="146"/>
      <c r="R51" s="141">
        <f t="shared" si="9"/>
        <v>0</v>
      </c>
      <c r="S51" s="116"/>
      <c r="T51" s="60"/>
      <c r="U51" s="60"/>
    </row>
    <row r="52" spans="1:21" ht="12.75">
      <c r="A52" s="7"/>
      <c r="B52" s="4">
        <v>3632</v>
      </c>
      <c r="C52" s="5" t="s">
        <v>59</v>
      </c>
      <c r="D52" s="143"/>
      <c r="E52" s="144"/>
      <c r="F52" s="145"/>
      <c r="G52" s="144"/>
      <c r="H52" s="146">
        <f>D52+E52</f>
        <v>0</v>
      </c>
      <c r="I52" s="141">
        <f t="shared" si="6"/>
        <v>0</v>
      </c>
      <c r="J52" s="28"/>
      <c r="K52" s="78"/>
      <c r="L52" s="79"/>
      <c r="M52" s="147">
        <v>227</v>
      </c>
      <c r="N52" s="150"/>
      <c r="O52" s="150"/>
      <c r="P52" s="166">
        <f>12/12*-113</f>
        <v>-113</v>
      </c>
      <c r="Q52" s="146">
        <f aca="true" t="shared" si="10" ref="Q52:Q84">M52+N52</f>
        <v>227</v>
      </c>
      <c r="R52" s="141">
        <f t="shared" si="9"/>
        <v>114</v>
      </c>
      <c r="S52" s="118">
        <f>20772*0+3/3*48242*0+4/4*68276*0+5/5*77931*0+6/6*106807*0+7/7*108165*0+8/8*114447+9/9*(846+115293*0)+10/10*-1704</f>
        <v>113589</v>
      </c>
      <c r="T52" s="60"/>
      <c r="U52" s="60"/>
    </row>
    <row r="53" spans="1:19" s="279" customFormat="1" ht="12">
      <c r="A53" s="257" t="s">
        <v>211</v>
      </c>
      <c r="B53" s="275"/>
      <c r="C53" s="276">
        <f>J53-(8/8)*(7/7*4238662.95*0+8/8*4807649.05*0+9/9*5128011.92*0+10/10*5670269.05*0+12/12*6527975.05*0+13/13*6425817.39)</f>
        <v>0</v>
      </c>
      <c r="D53" s="151">
        <f>SUM(D49:D52)</f>
        <v>7650</v>
      </c>
      <c r="E53" s="152">
        <f>SUM(E49:E52)</f>
        <v>-230.5</v>
      </c>
      <c r="F53" s="121">
        <f>SUM(F49:F52)</f>
        <v>-897.3</v>
      </c>
      <c r="G53" s="152"/>
      <c r="H53" s="153">
        <f>D53+E53</f>
        <v>7419.5</v>
      </c>
      <c r="I53" s="121">
        <f>SUM(I49:I52)</f>
        <v>6522.2</v>
      </c>
      <c r="J53" s="64">
        <f>SUM(J49:J52)</f>
        <v>6425817.39</v>
      </c>
      <c r="K53" s="277">
        <f>R53-(8/8)*(8/8*227*0+12/12*114)</f>
        <v>0</v>
      </c>
      <c r="L53" s="278">
        <f>S53-(8/8)*(7/7*108165*0+8/8*114447*0+10/10*113589)</f>
        <v>0</v>
      </c>
      <c r="M53" s="151">
        <f>SUM(M49:M52)</f>
        <v>227</v>
      </c>
      <c r="N53" s="152">
        <f>SUM(N49:N52)</f>
        <v>0</v>
      </c>
      <c r="O53" s="152"/>
      <c r="P53" s="121">
        <f>SUM(P49:P52)</f>
        <v>-113</v>
      </c>
      <c r="Q53" s="153">
        <f t="shared" si="10"/>
        <v>227</v>
      </c>
      <c r="R53" s="121">
        <f>SUM(R49:R52)</f>
        <v>114</v>
      </c>
      <c r="S53" s="117">
        <f>SUM(S49:S52)</f>
        <v>113589</v>
      </c>
    </row>
    <row r="54" spans="1:21" ht="12.75">
      <c r="A54" s="7" t="s">
        <v>60</v>
      </c>
      <c r="B54" s="4">
        <v>6112</v>
      </c>
      <c r="C54" s="5" t="s">
        <v>61</v>
      </c>
      <c r="D54" s="143">
        <v>1735</v>
      </c>
      <c r="E54" s="144">
        <f>5/5*(118/118*20+153/153*4)</f>
        <v>24</v>
      </c>
      <c r="F54" s="160">
        <f>2321/2321*(2/2*10+9/9*1310/1310*10)+(306+30)+12/12*40</f>
        <v>396</v>
      </c>
      <c r="G54" s="146"/>
      <c r="H54" s="146">
        <f>D54+E54</f>
        <v>1759</v>
      </c>
      <c r="I54" s="141">
        <f t="shared" si="6"/>
        <v>2155</v>
      </c>
      <c r="J54" s="65">
        <f>(205257.5*0+207545.5)*0+3/3*(425590.5+1/1*70)*0+(5/5)*238*0+4/4*647758.5*0+1/1*70+6/6*965262*0+7/7*1111582*0+8/8*1286732*0+9/9*(1444032+1/1*70*0)*0+10/10*1600553.5*0+12/12*2034293.5+13102007/13102007*4163.5+2412/2412*10312.5</f>
        <v>2048839.5</v>
      </c>
      <c r="K54" s="78"/>
      <c r="L54" s="79"/>
      <c r="M54" s="147"/>
      <c r="N54" s="150"/>
      <c r="O54" s="150"/>
      <c r="P54" s="159">
        <f>2321/2321*(2/2*10+9/9*1310/1310*10)*12/12*0</f>
        <v>0</v>
      </c>
      <c r="Q54" s="146">
        <f t="shared" si="10"/>
        <v>0</v>
      </c>
      <c r="R54" s="141">
        <f t="shared" si="9"/>
        <v>0</v>
      </c>
      <c r="S54" s="116"/>
      <c r="T54" s="60"/>
      <c r="U54" s="60"/>
    </row>
    <row r="55" spans="1:21" ht="12.75">
      <c r="A55" s="26">
        <f>(12+1.5+10*2+8+10+8+20+15+7+8.2+12.3+13+30+20+3.6+8+4+20-221.6*0)*1000-219100*0</f>
        <v>220600</v>
      </c>
      <c r="B55" s="4">
        <v>6171</v>
      </c>
      <c r="C55" s="5" t="s">
        <v>62</v>
      </c>
      <c r="D55" s="143">
        <f>41819-10</f>
        <v>41809</v>
      </c>
      <c r="E55" s="144">
        <f>48.9+7/7*-1876.8+11/11*-194.2</f>
        <v>-2022.1</v>
      </c>
      <c r="F55" s="154">
        <f>2321/2321*(7+25+112)+12/12*-2448-1876.8+(10/10)*6310/6310*5141/5141*152</f>
        <v>-4028.8</v>
      </c>
      <c r="G55" s="146"/>
      <c r="H55" s="146">
        <f>D55+E55</f>
        <v>39786.9</v>
      </c>
      <c r="I55" s="141">
        <f t="shared" si="6"/>
        <v>35758.1</v>
      </c>
      <c r="J55" s="271">
        <f>(10/10*29859638.91*0+12/12*36673322.47-99/99*1876838.23-81/81*(17030*0+9/9*40840*0+10/10*57870+4375/4375*13591)-98031/98031*(9/9*125634*0+10/10*136908*0+12/12*161335*0+13/13*251832.5)-98/98*(8/8*957924*0+13/13*(1457360.83-29839.18)+202150))+1/1*(9/9*529082*0+10/10*553184+13/13*-4080*0)*0+3/3*(9/9*511454*0+10/10*576144*0+12/12*753048)+5011/5011*225+5801/5801*(-9/9*380637*0-10/10*426229*0-12/12*509850)+847374/847374*(864*0+3/3*1318*0+4/4*1761+9/9*3886*0+10/10*4319*0+12/12*5185)+6/6*5141/5141*(80039.7*0+7/7*0)+5192/5192*(7/7*(300495-965)*0+12/12*298565)+(10/10)*(5141/5141*((72062.81*0+7/7*152102.51*0+10/10*174363.67*0+12/12*197481.08+6330/6330*9712.9))+5163/5163*(187.5*0+6/6*427.5*0+9/9*585*0+12/12*744.5))+4/4*(5/5)*14122*0+6/6*(11371/11371*7500+11401/11401*7500)+6310/6310*9/9*22261.16*0-J56+8/8*(9/9)*3113/3113*5169/5169*-24085.89*0+9/9*(5/5*3/3*6171/6171*5011/5011)*(-2460*0+0)+(5/5)*6171/6171*20*12/12*0+(6/6)*12/12*3319/3319*3663*0+12/12*((2323/2323*20592+107/107*6875+18272007/18272007*7000)-98116/98116*49999)</f>
        <v>14218559.719999999</v>
      </c>
      <c r="K55" s="89"/>
      <c r="L55" s="79"/>
      <c r="M55" s="147">
        <f>1032-2343/2343*882</f>
        <v>150</v>
      </c>
      <c r="N55" s="150"/>
      <c r="O55" s="150"/>
      <c r="P55" s="165">
        <v>-150</v>
      </c>
      <c r="Q55" s="146">
        <f t="shared" si="10"/>
        <v>150</v>
      </c>
      <c r="R55" s="141">
        <f t="shared" si="9"/>
        <v>0</v>
      </c>
      <c r="S55" s="116"/>
      <c r="T55" s="60"/>
      <c r="U55" s="60"/>
    </row>
    <row r="56" spans="1:21" ht="12.75">
      <c r="A56" s="27" t="s">
        <v>63</v>
      </c>
      <c r="B56" s="4"/>
      <c r="C56" s="5" t="s">
        <v>64</v>
      </c>
      <c r="D56" s="143"/>
      <c r="E56" s="144"/>
      <c r="F56" s="165">
        <f>12/12*((39435.7-81/81*160-98031/98031*251.7-98116/98116*(50+202.1)-98216/98216*1298+(10/10)*6310/6310*5141/5141*152)+847374/847374*(3+6))-I55-1876.8</f>
        <v>2.9558577807620168E-12</v>
      </c>
      <c r="G56" s="146"/>
      <c r="H56" s="146"/>
      <c r="I56" s="141">
        <f t="shared" si="6"/>
        <v>2.9558577807620168E-12</v>
      </c>
      <c r="J56" s="28">
        <f>(6395260*0+7/7*(13465015*0+7/7*8942161*0+8/8*(10211507*0+9580380)*0+(9/9*((11612900-9/9*1401393)-98216/98216*(617962*0+8/8*957924*0+13/13*(1457360.83-29839.18*0))-98116/98116*202150)))*0+10/10*(11612900*0+15492391-957924*13/13*0-202150*13/13*0))*(1+0.26+0.09+0.03*0)+1.2*0+7/7*0-98116/98116*202150-98216/98216*(971450+257139+89098)-4375/4375*13591</f>
        <v>19381299.85</v>
      </c>
      <c r="K56" s="90" t="s">
        <v>39</v>
      </c>
      <c r="L56" s="79"/>
      <c r="M56" s="147"/>
      <c r="N56" s="150"/>
      <c r="O56" s="150"/>
      <c r="P56" s="155"/>
      <c r="Q56" s="146"/>
      <c r="R56" s="141">
        <f t="shared" si="9"/>
        <v>0</v>
      </c>
      <c r="S56" s="116"/>
      <c r="T56" s="60"/>
      <c r="U56" s="60"/>
    </row>
    <row r="57" spans="1:21" ht="12.75">
      <c r="A57" s="27"/>
      <c r="B57" s="4"/>
      <c r="C57" s="254" t="s">
        <v>199</v>
      </c>
      <c r="D57" s="143"/>
      <c r="E57" s="144"/>
      <c r="F57" s="165"/>
      <c r="G57" s="146"/>
      <c r="H57" s="146"/>
      <c r="I57" s="141"/>
      <c r="J57" s="271">
        <f>1/1*(9/9*529082*0+10/10*553184+13/13*-4080*0)</f>
        <v>553184</v>
      </c>
      <c r="K57" s="90"/>
      <c r="L57" s="79"/>
      <c r="M57" s="147"/>
      <c r="N57" s="150"/>
      <c r="O57" s="150"/>
      <c r="P57" s="155"/>
      <c r="Q57" s="146"/>
      <c r="R57" s="141"/>
      <c r="S57" s="116"/>
      <c r="T57" s="60"/>
      <c r="U57" s="60"/>
    </row>
    <row r="58" spans="1:21" ht="12.75" customHeight="1">
      <c r="A58" s="27"/>
      <c r="B58" s="4"/>
      <c r="C58" s="254" t="s">
        <v>200</v>
      </c>
      <c r="D58" s="143"/>
      <c r="E58" s="144"/>
      <c r="F58" s="165"/>
      <c r="G58" s="146"/>
      <c r="H58" s="146"/>
      <c r="I58" s="141"/>
      <c r="J58" s="28"/>
      <c r="K58" s="90"/>
      <c r="L58" s="79"/>
      <c r="M58" s="147"/>
      <c r="N58" s="150"/>
      <c r="O58" s="150"/>
      <c r="P58" s="155"/>
      <c r="Q58" s="146"/>
      <c r="R58" s="141"/>
      <c r="S58" s="116"/>
      <c r="T58" s="60"/>
      <c r="U58" s="60"/>
    </row>
    <row r="59" spans="1:21" ht="12.75" customHeight="1">
      <c r="A59" s="26">
        <f>(12+1.5+10*2+30+8+10+5+8+20+7+15+20+7+8.2+12.3+13+30+5+20+3.6+10+8+4+20+1.93/2-298.565*0)*1000-298565*0</f>
        <v>298565</v>
      </c>
      <c r="B59" s="4"/>
      <c r="C59" s="5" t="s">
        <v>65</v>
      </c>
      <c r="D59" s="143"/>
      <c r="E59" s="146"/>
      <c r="F59" s="165">
        <f>-234*0+12/12*305</f>
        <v>305</v>
      </c>
      <c r="G59" s="146"/>
      <c r="H59" s="146">
        <f aca="true" t="shared" si="11" ref="H59:H68">D59+E59</f>
        <v>0</v>
      </c>
      <c r="I59" s="141">
        <f t="shared" si="6"/>
        <v>305</v>
      </c>
      <c r="J59" s="65">
        <f>83045.4*0+3/3*82768.6*0+6/6*(165623.2+9/9*41427.3+10/10*48569.9)*0+12/12*304886.4</f>
        <v>304886.4</v>
      </c>
      <c r="K59" s="78"/>
      <c r="L59" s="255" t="s">
        <v>153</v>
      </c>
      <c r="M59" s="147">
        <v>722</v>
      </c>
      <c r="N59" s="167">
        <f>-234*0</f>
        <v>0</v>
      </c>
      <c r="O59" s="150"/>
      <c r="P59" s="168">
        <f>12/12*-200</f>
        <v>-200</v>
      </c>
      <c r="Q59" s="146">
        <f t="shared" si="10"/>
        <v>722</v>
      </c>
      <c r="R59" s="141">
        <f t="shared" si="9"/>
        <v>522</v>
      </c>
      <c r="S59" s="119">
        <f>132000*0+3/3*159160*0+4/4*176160*0+5/5*178360*0+6/6*214460*0+7/7*266960*0+8/8*269360*0+9/9*395060*0+10/10*406260*0+12/12*528760</f>
        <v>528760</v>
      </c>
      <c r="T59" s="60"/>
      <c r="U59" s="60"/>
    </row>
    <row r="60" spans="1:21" ht="12.75">
      <c r="A60" s="274">
        <f>-(-98116/98116*202150*0-98216/98216*(971450+257139+89098)-4375/4375*13591*0)</f>
        <v>1317687</v>
      </c>
      <c r="B60" s="29"/>
      <c r="C60" s="5" t="s">
        <v>66</v>
      </c>
      <c r="D60" s="143"/>
      <c r="E60" s="144">
        <f>4/4*278*0</f>
        <v>0</v>
      </c>
      <c r="F60" s="145"/>
      <c r="G60" s="144"/>
      <c r="H60" s="146">
        <f t="shared" si="11"/>
        <v>0</v>
      </c>
      <c r="I60" s="141">
        <f t="shared" si="6"/>
        <v>0</v>
      </c>
      <c r="J60" s="28"/>
      <c r="K60" s="78" t="s">
        <v>142</v>
      </c>
      <c r="L60" s="79"/>
      <c r="M60" s="147"/>
      <c r="N60" s="144">
        <f>278*0</f>
        <v>0</v>
      </c>
      <c r="O60" s="144"/>
      <c r="P60" s="145"/>
      <c r="Q60" s="146">
        <f t="shared" si="10"/>
        <v>0</v>
      </c>
      <c r="R60" s="141">
        <f t="shared" si="9"/>
        <v>0</v>
      </c>
      <c r="S60" s="116">
        <f>278000*0+3/3*202150*0</f>
        <v>0</v>
      </c>
      <c r="T60" s="60"/>
      <c r="U60" s="60"/>
    </row>
    <row r="61" spans="1:21" ht="12.75">
      <c r="A61" s="30">
        <f>J61/3%</f>
        <v>0</v>
      </c>
      <c r="B61" s="29"/>
      <c r="C61" s="5" t="s">
        <v>67</v>
      </c>
      <c r="D61" s="143"/>
      <c r="E61" s="144">
        <f>202.1*0</f>
        <v>0</v>
      </c>
      <c r="F61" s="145"/>
      <c r="G61" s="144"/>
      <c r="H61" s="146">
        <f>D61+E61</f>
        <v>0</v>
      </c>
      <c r="I61" s="141">
        <f t="shared" si="6"/>
        <v>0</v>
      </c>
      <c r="J61" s="28"/>
      <c r="K61" s="78" t="s">
        <v>142</v>
      </c>
      <c r="L61" s="79"/>
      <c r="M61" s="147"/>
      <c r="N61" s="144">
        <f>278*0</f>
        <v>0</v>
      </c>
      <c r="O61" s="144"/>
      <c r="P61" s="145"/>
      <c r="Q61" s="146">
        <f>M61+N61</f>
        <v>0</v>
      </c>
      <c r="R61" s="141">
        <f t="shared" si="9"/>
        <v>0</v>
      </c>
      <c r="S61" s="116">
        <f>278000*0+3/3*202150*0</f>
        <v>0</v>
      </c>
      <c r="T61" s="60"/>
      <c r="U61" s="60"/>
    </row>
    <row r="62" spans="1:21" ht="12.75">
      <c r="A62" s="30">
        <f>J62/3%</f>
        <v>28331833.333333336</v>
      </c>
      <c r="B62" s="4"/>
      <c r="C62" s="5" t="s">
        <v>68</v>
      </c>
      <c r="D62" s="143">
        <f>14330*3%+0.1+0.1*100</f>
        <v>440</v>
      </c>
      <c r="E62" s="146"/>
      <c r="F62" s="155"/>
      <c r="G62" s="146"/>
      <c r="H62" s="146">
        <f t="shared" si="11"/>
        <v>440</v>
      </c>
      <c r="I62" s="141">
        <f t="shared" si="6"/>
        <v>440</v>
      </c>
      <c r="J62" s="271">
        <f>(10/10)*4/4*218852*0+8/8*441956*0+10/10*481550*0+12/12*849955</f>
        <v>849955</v>
      </c>
      <c r="K62" s="78"/>
      <c r="L62" s="85" t="s">
        <v>154</v>
      </c>
      <c r="M62" s="147"/>
      <c r="N62" s="150"/>
      <c r="O62" s="150"/>
      <c r="P62" s="155"/>
      <c r="Q62" s="146">
        <f t="shared" si="10"/>
        <v>0</v>
      </c>
      <c r="R62" s="169">
        <f t="shared" si="9"/>
        <v>0</v>
      </c>
      <c r="S62" s="120">
        <f>2460/2460*(32650*0+69800*0+3/3*104450*0+4/4*134600*0+5/5*167750*0+6/6*203800*0+7/7*240850*0+8/8*272650*0+9/9*313950*0+10/10*344250*0+12/12*399350)</f>
        <v>399350</v>
      </c>
      <c r="T62" s="60"/>
      <c r="U62" s="60"/>
    </row>
    <row r="63" spans="1:21" ht="12.75">
      <c r="A63" s="31">
        <f>44340+(5101+(44340+60-27600)*32%)*0-10477</f>
        <v>33863</v>
      </c>
      <c r="B63" s="4"/>
      <c r="C63" s="5" t="s">
        <v>69</v>
      </c>
      <c r="D63" s="143"/>
      <c r="E63" s="146"/>
      <c r="F63" s="165">
        <f>12/12*372</f>
        <v>372</v>
      </c>
      <c r="G63" s="146"/>
      <c r="H63" s="146">
        <f t="shared" si="11"/>
        <v>0</v>
      </c>
      <c r="I63" s="141">
        <f t="shared" si="6"/>
        <v>372</v>
      </c>
      <c r="J63" s="65">
        <f>117357.4*0+3/3*125725.4*0+4/4*180996.4*0+6/6*231718.9*0+8/8*252715.9*0+9/9*(307192.9+10/10*36807)*0+12/12*372252.8</f>
        <v>372252.8</v>
      </c>
      <c r="K63" s="92" t="s">
        <v>155</v>
      </c>
      <c r="L63" s="91" t="s">
        <v>156</v>
      </c>
      <c r="M63" s="147"/>
      <c r="N63" s="150"/>
      <c r="O63" s="150"/>
      <c r="P63" s="157">
        <f>4/4*P18+6/6*P41+5/5*(P30+P34)+9/9*1310/1310*P54-3110/3110*91*0+12/12*(2/2*10+3/3*20+6/6*5+7/7*5+9/9*10+(5/5*7.4+6/6*33.6))+11/11*70+12/12*267</f>
        <v>428</v>
      </c>
      <c r="Q63" s="146">
        <f t="shared" si="10"/>
        <v>0</v>
      </c>
      <c r="R63" s="141">
        <f t="shared" si="9"/>
        <v>428</v>
      </c>
      <c r="S63" s="119">
        <f>10000*0+3/3*65029*0+4/4*66480*0+5/5*67931*0+6/6*74382*0+7/7*80694*0+8/8*80949+9/9*10000+12/12*337000</f>
        <v>427949</v>
      </c>
      <c r="T63" s="60"/>
      <c r="U63" s="60"/>
    </row>
    <row r="64" spans="1:21" ht="12.75">
      <c r="A64" s="31">
        <f>1730-(1730+70)*12%*0-216</f>
        <v>1514</v>
      </c>
      <c r="B64" s="4"/>
      <c r="C64" s="5" t="s">
        <v>70</v>
      </c>
      <c r="D64" s="143"/>
      <c r="E64" s="146"/>
      <c r="F64" s="165">
        <f>12/12*293</f>
        <v>293</v>
      </c>
      <c r="G64" s="146"/>
      <c r="H64" s="146">
        <f t="shared" si="11"/>
        <v>0</v>
      </c>
      <c r="I64" s="141">
        <f t="shared" si="6"/>
        <v>293</v>
      </c>
      <c r="J64" s="65">
        <f>97844.5*0+3/3*99149.5*0+4/4*138034.5*0+6/6*157432.5*0+7/7*125753*0+8/8*168293.5*0+9/9*(231562.5+10/10*8923)*0+12/12*248306+2323/2323*20592*0</f>
        <v>248306</v>
      </c>
      <c r="K64" s="78"/>
      <c r="L64" s="91" t="s">
        <v>157</v>
      </c>
      <c r="M64" s="147"/>
      <c r="N64" s="150"/>
      <c r="O64" s="150"/>
      <c r="P64" s="164">
        <f>12/12*25</f>
        <v>25</v>
      </c>
      <c r="Q64" s="146">
        <f t="shared" si="10"/>
        <v>0</v>
      </c>
      <c r="R64" s="141">
        <f t="shared" si="9"/>
        <v>25</v>
      </c>
      <c r="S64" s="119">
        <f>10212*0+6/6*25212</f>
        <v>25212</v>
      </c>
      <c r="T64" s="60"/>
      <c r="U64" s="60"/>
    </row>
    <row r="65" spans="1:21" ht="12.75">
      <c r="A65" s="31">
        <f>A63+A64</f>
        <v>35377</v>
      </c>
      <c r="B65" s="12">
        <f>(1115.44+5520.15+17486.2+5717.39)</f>
        <v>29839.18</v>
      </c>
      <c r="C65" s="5" t="s">
        <v>71</v>
      </c>
      <c r="D65" s="143"/>
      <c r="E65" s="144">
        <f>19+(265-50)-4375/4375*215</f>
        <v>19</v>
      </c>
      <c r="F65" s="165">
        <f>12/12*(128+5410/5410*1)-E65</f>
        <v>110</v>
      </c>
      <c r="G65" s="146"/>
      <c r="H65" s="146">
        <f>D65+E65</f>
        <v>19</v>
      </c>
      <c r="I65" s="141">
        <f t="shared" si="6"/>
        <v>129</v>
      </c>
      <c r="J65" s="65">
        <f>36158*0+3/3*39935*0+4/4*54822*0+6/6*73598*0+8/8*75862*0+9/9*(101699+10/10*8520.5)*0+12/12*110219.5+13/13*98216/98216*-29839.18+((98031/98031*3/3*4/4*41868*0)+5410/5410*(29280.9*0+3/3*63955.8*0+4/4*95138.1*0+6/6*144665.9*0+7/7*168465.9*0+8/8*217134.52*0+9/9*240934.52*0+10/10*271556.73*0+12/12*295356.73))</f>
        <v>375737.05</v>
      </c>
      <c r="K65" s="78"/>
      <c r="L65" s="255" t="s">
        <v>158</v>
      </c>
      <c r="M65" s="147"/>
      <c r="N65" s="150"/>
      <c r="O65" s="150"/>
      <c r="P65" s="170">
        <f>12/12*0+1210</f>
        <v>1210</v>
      </c>
      <c r="Q65" s="146">
        <f t="shared" si="10"/>
        <v>0</v>
      </c>
      <c r="R65" s="141">
        <f t="shared" si="9"/>
        <v>1210</v>
      </c>
      <c r="S65" s="119">
        <f>488307.84*0+3/3*1106019.44*0+4/4*1110254.8*0+5/5*1188447.34*0+1188985.34*0+8/8*1189285.34*0+9/9*1192877.34*0+10/10*1210504.34*0+12/12*1211118.34</f>
        <v>1211118.34</v>
      </c>
      <c r="T65" s="60"/>
      <c r="U65" s="60"/>
    </row>
    <row r="66" spans="1:21" ht="12.75">
      <c r="A66" s="31">
        <f>46070+(5101+(46070+30-27600)*32%)*0-11021</f>
        <v>35049</v>
      </c>
      <c r="B66" s="4"/>
      <c r="C66" s="5" t="s">
        <v>72</v>
      </c>
      <c r="D66" s="143"/>
      <c r="E66" s="146"/>
      <c r="F66" s="165">
        <f>12/12*197</f>
        <v>197</v>
      </c>
      <c r="G66" s="146"/>
      <c r="H66" s="146">
        <f>D66+E66</f>
        <v>0</v>
      </c>
      <c r="I66" s="141">
        <f t="shared" si="6"/>
        <v>197</v>
      </c>
      <c r="J66" s="65">
        <f>34857.3*0+3/3*52317.8*0+4/4*130626.3*0+6/6*166832.8*0+8/8*178926.8*0+9/9*180015.8*0+10/10*185322.8*0+12/12*208142.8</f>
        <v>208142.8</v>
      </c>
      <c r="K66" s="78"/>
      <c r="L66" s="255" t="s">
        <v>159</v>
      </c>
      <c r="M66" s="147">
        <f>882</f>
        <v>882</v>
      </c>
      <c r="N66" s="150"/>
      <c r="O66" s="150"/>
      <c r="P66" s="170">
        <f>12/12*0</f>
        <v>0</v>
      </c>
      <c r="Q66" s="146">
        <f t="shared" si="10"/>
        <v>882</v>
      </c>
      <c r="R66" s="141">
        <f t="shared" si="9"/>
        <v>882</v>
      </c>
      <c r="S66" s="119">
        <f>48920*0+5/5*126273*0+7/7*149876*0+10/10*218770</f>
        <v>218770</v>
      </c>
      <c r="T66" s="60"/>
      <c r="U66" s="60"/>
    </row>
    <row r="67" spans="1:21" ht="12.75">
      <c r="A67" s="31"/>
      <c r="B67" s="4"/>
      <c r="C67" s="5"/>
      <c r="D67" s="143"/>
      <c r="E67" s="146"/>
      <c r="F67" s="165"/>
      <c r="G67" s="146"/>
      <c r="H67" s="146"/>
      <c r="I67" s="141"/>
      <c r="J67" s="65"/>
      <c r="K67" s="78"/>
      <c r="L67" s="91"/>
      <c r="M67" s="147"/>
      <c r="N67" s="150"/>
      <c r="O67" s="150"/>
      <c r="P67" s="170"/>
      <c r="Q67" s="146"/>
      <c r="R67" s="141"/>
      <c r="S67" s="119"/>
      <c r="T67" s="60"/>
      <c r="U67" s="60"/>
    </row>
    <row r="68" spans="1:21" ht="12.75">
      <c r="A68" s="7"/>
      <c r="B68" s="4"/>
      <c r="C68" s="5" t="s">
        <v>73</v>
      </c>
      <c r="D68" s="143"/>
      <c r="E68" s="144"/>
      <c r="F68" s="160">
        <f>12/12*1368/1368*2</f>
        <v>2</v>
      </c>
      <c r="G68" s="144"/>
      <c r="H68" s="146">
        <f t="shared" si="11"/>
        <v>0</v>
      </c>
      <c r="I68" s="141">
        <f t="shared" si="6"/>
        <v>2</v>
      </c>
      <c r="J68" s="65">
        <f>1368/1368*2050+2105/2105*-1680+(6/6*(4/4*1618.62)*0+7/7*0)+12/12*1062/1062*468</f>
        <v>838</v>
      </c>
      <c r="K68" s="78"/>
      <c r="L68" s="79"/>
      <c r="M68" s="147"/>
      <c r="N68" s="150"/>
      <c r="O68" s="150"/>
      <c r="P68" s="145"/>
      <c r="Q68" s="146">
        <f t="shared" si="10"/>
        <v>0</v>
      </c>
      <c r="R68" s="141">
        <f t="shared" si="9"/>
        <v>0</v>
      </c>
      <c r="S68" s="116"/>
      <c r="T68" s="60"/>
      <c r="U68" s="60"/>
    </row>
    <row r="69" spans="1:19" s="279" customFormat="1" ht="12">
      <c r="A69" s="257" t="s">
        <v>212</v>
      </c>
      <c r="B69" s="275"/>
      <c r="C69" s="276">
        <f>J69+J107+J108+J119+J120+J124+J126-(9/9)*(7/7*24204069.73*0+8/8*27233912.65*0+9/9*30619331.37*0+10/10*(33898134.74*0+12/12*(41417412.2*0+13/13*41413749.2-(6/6)*3663*0)+(5/5)*20*0)-(8233/8233*2200)*0)-(10/10)*7/7*5141/5141*(6310/6310*(152102.51*0+10/10*174363.67*0+12/12*197481.08)+6330/6330*12/12*9712.9+(427.5*0+9/9*585*0+12/12*744.5)+5342/5342*(218852*0+8/8*441956*0+12/12*849955))</f>
        <v>-13591.00000001816</v>
      </c>
      <c r="D69" s="151">
        <f>SUM(D54:D68)</f>
        <v>43984</v>
      </c>
      <c r="E69" s="152">
        <f>SUM(E54:E68)</f>
        <v>-1979.1</v>
      </c>
      <c r="F69" s="121">
        <f>SUM(F54:F68)</f>
        <v>-2353.7999999999975</v>
      </c>
      <c r="G69" s="152"/>
      <c r="H69" s="153">
        <f>D69+E69</f>
        <v>42004.9</v>
      </c>
      <c r="I69" s="121">
        <f>SUM(I54:I68)</f>
        <v>39651.1</v>
      </c>
      <c r="J69" s="66">
        <f>SUM(J54:J68)</f>
        <v>38562001.11999999</v>
      </c>
      <c r="K69" s="280">
        <f>R69+(R107+R108+R119+R120+R124+R126)+(10/10)*2141/2141*(163*0+313*0+R83)+SUM(R70:R86)*0-(9/9)*(9/9*3130.5*0+12/12*5028.8)-(10/10)*(9/9*0+12/12*313+12/12*1876.8)</f>
        <v>0</v>
      </c>
      <c r="L69" s="278">
        <f>S69+(S107+S108+S119+S120+S124+S126)+S83+SUM(S70:S86)*0-(9/9)*(7/7*3426202.02*0+8/8*3460957.02*0+9/9*3727366.99*0+12/12*4831974.27)-(10/10)*(7/7*(-150000*0+(212.1*0+9/9*325.22*0+12/12*459.47)+3755*0)+12/12*1876838.23)</f>
        <v>0</v>
      </c>
      <c r="M69" s="151">
        <f>SUM(M54:M68)</f>
        <v>1754</v>
      </c>
      <c r="N69" s="152">
        <f>SUM(N54:N68)</f>
        <v>0</v>
      </c>
      <c r="O69" s="152"/>
      <c r="P69" s="121">
        <f>SUM(P54:P68)</f>
        <v>1313</v>
      </c>
      <c r="Q69" s="153">
        <f t="shared" si="10"/>
        <v>1754</v>
      </c>
      <c r="R69" s="121">
        <f>SUM(R54:R68)+(10/10)*(R83*0+R85+R107+R108+R119+R120+R124*0+R126-1961.8*0)*0</f>
        <v>3067</v>
      </c>
      <c r="S69" s="121">
        <f>SUM(S54:S68)+(10/10)*((S83-459.47)+S85*0*6/6+S107+S108+S119+S120+S124*0+S126-2020814.9*0)*0</f>
        <v>2811159.34</v>
      </c>
    </row>
    <row r="70" spans="1:21" ht="12.75">
      <c r="A70" s="7"/>
      <c r="B70" s="32">
        <f>J138+C70</f>
        <v>-1.816079020500183E-08</v>
      </c>
      <c r="C70" s="33">
        <f>C69+C39</f>
        <v>-1.816079020500183E-08</v>
      </c>
      <c r="D70" s="171"/>
      <c r="E70" s="146"/>
      <c r="F70" s="155"/>
      <c r="G70" s="146"/>
      <c r="H70" s="146"/>
      <c r="I70" s="141">
        <f t="shared" si="6"/>
        <v>0</v>
      </c>
      <c r="J70" s="28"/>
      <c r="K70" s="78"/>
      <c r="L70" s="91" t="s">
        <v>160</v>
      </c>
      <c r="M70" s="147">
        <f>2711*0+1341/1341*(348+228*0)+1342/1342*(54+2007/2007*9+70*0)+1343/1343*(761+404*0)+1344/1344*(27+11*0)+1347/1347*(1512+1076*0-335*0)</f>
        <v>2711</v>
      </c>
      <c r="N70" s="150"/>
      <c r="O70" s="150"/>
      <c r="P70" s="167">
        <f>12/12*0</f>
        <v>0</v>
      </c>
      <c r="Q70" s="146">
        <f t="shared" si="10"/>
        <v>2711</v>
      </c>
      <c r="R70" s="169">
        <f t="shared" si="9"/>
        <v>2711</v>
      </c>
      <c r="S70" s="122">
        <f>1/1*(7/7*159758.75*0+8/8*162858.75*0+9/9*170892.75*0+10/10*173683.75*0+12/12*205672.75)+2/2*(7/7*28852.5*0+8/8*42142.5*0+9/9*49762.5*0+10/10*57750*0+12/12*58507.5)+3/3*(7/7*410638*0+8/8*436140*0+9/9*449176*0+10/10*489196*0+12/12*590273)+4/4*(3/3*5391*0+4/4*6351*0+10416*0+12/12*13015)+5/5*(45112*0+3/3*71004*0+4/4*105192*0+5/5*121116*0+6/6*148028*0+7/7*180112*0+8/8*192736*0+9/9*207260*0+10/10*268028*0+12/12*294852)+7/7*(150000*0+3/3*398024*0+4/4*699392*0+5/5*859952*0+6/6*919952*0+8/8*1054952*0+9/9*1129952*0+12/12*1323429)</f>
        <v>2485749.25</v>
      </c>
      <c r="T70" s="60"/>
      <c r="U70" s="60"/>
    </row>
    <row r="71" spans="1:21" ht="12.75">
      <c r="A71" s="7"/>
      <c r="B71" s="4"/>
      <c r="C71" s="5"/>
      <c r="D71" s="171"/>
      <c r="E71" s="146"/>
      <c r="F71" s="155"/>
      <c r="G71" s="146"/>
      <c r="H71" s="146"/>
      <c r="I71" s="141">
        <f t="shared" si="6"/>
        <v>0</v>
      </c>
      <c r="J71" s="28"/>
      <c r="K71" s="78"/>
      <c r="L71" s="91" t="s">
        <v>161</v>
      </c>
      <c r="M71" s="147">
        <v>3700</v>
      </c>
      <c r="N71" s="150"/>
      <c r="O71" s="150"/>
      <c r="P71" s="166">
        <f>12/12*300</f>
        <v>300</v>
      </c>
      <c r="Q71" s="146">
        <f t="shared" si="10"/>
        <v>3700</v>
      </c>
      <c r="R71" s="169">
        <f t="shared" si="9"/>
        <v>4000</v>
      </c>
      <c r="S71" s="122">
        <f>451833*0+3/3*361118*0+4/4*583508*0+5/5*927878*0+6/6*1890828*0+7/7*2159683*0+8/8*2338478*0+9/9*2556698*0+10/10*2751773*0+12/12*3692388</f>
        <v>3692388</v>
      </c>
      <c r="T71" s="60"/>
      <c r="U71" s="60"/>
    </row>
    <row r="72" spans="1:21" ht="12.75">
      <c r="A72" s="7"/>
      <c r="B72" s="4"/>
      <c r="C72" s="5"/>
      <c r="D72" s="171"/>
      <c r="E72" s="146"/>
      <c r="F72" s="155"/>
      <c r="G72" s="146"/>
      <c r="H72" s="146"/>
      <c r="I72" s="141">
        <f t="shared" si="6"/>
        <v>0</v>
      </c>
      <c r="J72" s="28"/>
      <c r="K72" s="78"/>
      <c r="L72" s="91" t="s">
        <v>162</v>
      </c>
      <c r="M72" s="147">
        <v>4100</v>
      </c>
      <c r="N72" s="150"/>
      <c r="O72" s="150"/>
      <c r="P72" s="166">
        <f>12/12*900</f>
        <v>900</v>
      </c>
      <c r="Q72" s="146">
        <f t="shared" si="10"/>
        <v>4100</v>
      </c>
      <c r="R72" s="169">
        <f t="shared" si="9"/>
        <v>5000</v>
      </c>
      <c r="S72" s="122">
        <f>0+4/4*37069.27*0+5/5*41405.27*0+6/6*41946.27*0+7/7*3159832.27*0+8/8*3166283.27*0+9/9*3341915.27*0+10/10*3376312.27*0+12/12*5011003.55</f>
        <v>5011003.55</v>
      </c>
      <c r="T72" s="60"/>
      <c r="U72" s="60"/>
    </row>
    <row r="73" spans="1:21" ht="12.75">
      <c r="A73" s="7"/>
      <c r="B73" s="4"/>
      <c r="C73" s="5"/>
      <c r="D73" s="171"/>
      <c r="E73" s="146"/>
      <c r="F73" s="155"/>
      <c r="G73" s="146"/>
      <c r="H73" s="146"/>
      <c r="I73" s="141">
        <f t="shared" si="6"/>
        <v>0</v>
      </c>
      <c r="J73" s="28"/>
      <c r="K73" s="78"/>
      <c r="L73" s="91" t="s">
        <v>163</v>
      </c>
      <c r="M73" s="147"/>
      <c r="N73" s="150"/>
      <c r="O73" s="150"/>
      <c r="P73" s="150"/>
      <c r="Q73" s="146">
        <f t="shared" si="10"/>
        <v>0</v>
      </c>
      <c r="R73" s="141">
        <f t="shared" si="9"/>
        <v>0</v>
      </c>
      <c r="S73" s="116"/>
      <c r="T73" s="60"/>
      <c r="U73" s="60"/>
    </row>
    <row r="74" spans="1:21" ht="12.75">
      <c r="A74" s="7"/>
      <c r="B74" s="4"/>
      <c r="C74" s="5"/>
      <c r="D74" s="171"/>
      <c r="E74" s="146"/>
      <c r="F74" s="155"/>
      <c r="G74" s="146"/>
      <c r="H74" s="146"/>
      <c r="I74" s="141">
        <f t="shared" si="6"/>
        <v>0</v>
      </c>
      <c r="J74" s="28"/>
      <c r="K74" s="78"/>
      <c r="L74" s="255" t="s">
        <v>164</v>
      </c>
      <c r="M74" s="147">
        <v>977</v>
      </c>
      <c r="N74" s="150"/>
      <c r="O74" s="150"/>
      <c r="P74" s="150"/>
      <c r="Q74" s="146">
        <f t="shared" si="10"/>
        <v>977</v>
      </c>
      <c r="R74" s="169">
        <f t="shared" si="9"/>
        <v>977</v>
      </c>
      <c r="S74" s="122">
        <f>R74/(R74+R75)*(824000*12+5000)-292.50784*7*0-28.63*0-4.14*0+9/9*20.3376*0-5.1804*0</f>
        <v>977000</v>
      </c>
      <c r="T74" s="60"/>
      <c r="U74" s="60"/>
    </row>
    <row r="75" spans="1:21" ht="12.75">
      <c r="A75" s="7"/>
      <c r="B75" s="4"/>
      <c r="C75" s="5"/>
      <c r="D75" s="171"/>
      <c r="E75" s="146"/>
      <c r="F75" s="155"/>
      <c r="G75" s="146"/>
      <c r="H75" s="146"/>
      <c r="I75" s="141">
        <f t="shared" si="6"/>
        <v>0</v>
      </c>
      <c r="J75" s="28"/>
      <c r="K75" s="78"/>
      <c r="L75" s="255" t="s">
        <v>165</v>
      </c>
      <c r="M75" s="147">
        <v>8916</v>
      </c>
      <c r="N75" s="150"/>
      <c r="O75" s="150"/>
      <c r="P75" s="150"/>
      <c r="Q75" s="146">
        <f t="shared" si="10"/>
        <v>8916</v>
      </c>
      <c r="R75" s="169">
        <f t="shared" si="9"/>
        <v>8916</v>
      </c>
      <c r="S75" s="122">
        <f>824000*12+5000-S74</f>
        <v>8916000</v>
      </c>
      <c r="T75" s="60"/>
      <c r="U75" s="60"/>
    </row>
    <row r="76" spans="1:21" ht="12.75">
      <c r="A76" s="7"/>
      <c r="B76" s="4"/>
      <c r="C76" s="5"/>
      <c r="D76" s="171"/>
      <c r="E76" s="146"/>
      <c r="F76" s="155"/>
      <c r="G76" s="146"/>
      <c r="H76" s="146"/>
      <c r="I76" s="141"/>
      <c r="J76" s="28"/>
      <c r="K76" s="78"/>
      <c r="L76" s="255"/>
      <c r="M76" s="147"/>
      <c r="N76" s="150"/>
      <c r="O76" s="150"/>
      <c r="P76" s="150"/>
      <c r="Q76" s="146"/>
      <c r="R76" s="169"/>
      <c r="S76" s="122"/>
      <c r="T76" s="60"/>
      <c r="U76" s="60"/>
    </row>
    <row r="77" spans="1:21" ht="30" customHeight="1">
      <c r="A77" s="7"/>
      <c r="B77" s="4"/>
      <c r="C77" s="5"/>
      <c r="D77" s="171"/>
      <c r="E77" s="146"/>
      <c r="F77" s="155"/>
      <c r="G77" s="146"/>
      <c r="H77" s="146"/>
      <c r="I77" s="141">
        <f t="shared" si="6"/>
        <v>0</v>
      </c>
      <c r="J77" s="28"/>
      <c r="K77" s="78"/>
      <c r="L77" s="255" t="s">
        <v>166</v>
      </c>
      <c r="M77" s="147">
        <v>24972</v>
      </c>
      <c r="N77" s="150"/>
      <c r="O77" s="150"/>
      <c r="P77" s="150"/>
      <c r="Q77" s="146">
        <f t="shared" si="10"/>
        <v>24972</v>
      </c>
      <c r="R77" s="169">
        <f t="shared" si="9"/>
        <v>24972</v>
      </c>
      <c r="S77" s="122">
        <f>R77*1000/12*12</f>
        <v>24972000</v>
      </c>
      <c r="T77" s="60"/>
      <c r="U77" s="60"/>
    </row>
    <row r="78" spans="1:21" ht="12.75">
      <c r="A78" s="7"/>
      <c r="B78" s="4"/>
      <c r="C78" s="5"/>
      <c r="D78" s="171"/>
      <c r="E78" s="146"/>
      <c r="F78" s="155"/>
      <c r="G78" s="146"/>
      <c r="H78" s="146"/>
      <c r="I78" s="141"/>
      <c r="J78" s="28"/>
      <c r="K78" s="78"/>
      <c r="L78" s="255"/>
      <c r="M78" s="147"/>
      <c r="N78" s="150"/>
      <c r="O78" s="150"/>
      <c r="P78" s="150"/>
      <c r="Q78" s="146"/>
      <c r="R78" s="169"/>
      <c r="S78" s="122"/>
      <c r="T78" s="60"/>
      <c r="U78" s="60"/>
    </row>
    <row r="79" spans="1:21" ht="12.75">
      <c r="A79" s="7"/>
      <c r="B79" s="4"/>
      <c r="C79" s="5"/>
      <c r="D79" s="171"/>
      <c r="E79" s="146"/>
      <c r="F79" s="155"/>
      <c r="G79" s="146"/>
      <c r="H79" s="146"/>
      <c r="I79" s="141"/>
      <c r="J79" s="28"/>
      <c r="K79" s="78"/>
      <c r="L79" s="255"/>
      <c r="M79" s="147"/>
      <c r="N79" s="150"/>
      <c r="O79" s="150"/>
      <c r="P79" s="150"/>
      <c r="Q79" s="146"/>
      <c r="R79" s="169"/>
      <c r="S79" s="122"/>
      <c r="T79" s="60"/>
      <c r="U79" s="60"/>
    </row>
    <row r="80" spans="1:21" ht="12.75">
      <c r="A80" s="7"/>
      <c r="B80" s="4"/>
      <c r="C80" s="5"/>
      <c r="D80" s="171"/>
      <c r="E80" s="146"/>
      <c r="F80" s="155"/>
      <c r="G80" s="146"/>
      <c r="H80" s="146"/>
      <c r="I80" s="141">
        <f t="shared" si="6"/>
        <v>0</v>
      </c>
      <c r="J80" s="28"/>
      <c r="K80" s="78"/>
      <c r="L80" s="91" t="s">
        <v>167</v>
      </c>
      <c r="M80" s="172">
        <f>10500+2390+2110*0</f>
        <v>12890</v>
      </c>
      <c r="N80" s="150">
        <f>7/7*-1876.8</f>
        <v>-1876.8</v>
      </c>
      <c r="O80" s="150"/>
      <c r="P80" s="166">
        <f>2110*0+12/12*-(1793.2+2110)</f>
        <v>-3903.2</v>
      </c>
      <c r="Q80" s="146">
        <f t="shared" si="10"/>
        <v>11013.2</v>
      </c>
      <c r="R80" s="169">
        <f t="shared" si="9"/>
        <v>7110.000000000001</v>
      </c>
      <c r="S80" s="122">
        <f>2100000*0+3/3*2900000*0+4/4*3900000*0+5/5*5480000*0+6/6*4480000*0+7/7*5380000*0+8/8*6780000*0+9/9*8780000+1450000+12/12*-1010000</f>
        <v>9220000</v>
      </c>
      <c r="T80" s="60"/>
      <c r="U80" s="60"/>
    </row>
    <row r="81" spans="1:21" ht="12.75">
      <c r="A81" s="7"/>
      <c r="B81" s="4"/>
      <c r="C81" s="5"/>
      <c r="D81" s="171"/>
      <c r="E81" s="146"/>
      <c r="F81" s="155"/>
      <c r="G81" s="146"/>
      <c r="H81" s="146"/>
      <c r="I81" s="141">
        <f t="shared" si="6"/>
        <v>0</v>
      </c>
      <c r="J81" s="28"/>
      <c r="K81" s="78"/>
      <c r="L81" s="93" t="s">
        <v>168</v>
      </c>
      <c r="M81" s="172">
        <f>2110-2110*0</f>
        <v>2110</v>
      </c>
      <c r="N81" s="150"/>
      <c r="O81" s="150"/>
      <c r="P81" s="150"/>
      <c r="Q81" s="146">
        <f t="shared" si="10"/>
        <v>2110</v>
      </c>
      <c r="R81" s="169">
        <f t="shared" si="9"/>
        <v>2110</v>
      </c>
      <c r="S81" s="116"/>
      <c r="T81" s="60"/>
      <c r="U81" s="60"/>
    </row>
    <row r="82" spans="1:21" ht="12.75" hidden="1">
      <c r="A82" s="7"/>
      <c r="B82" s="4"/>
      <c r="C82" s="5"/>
      <c r="D82" s="171"/>
      <c r="E82" s="146"/>
      <c r="F82" s="155"/>
      <c r="G82" s="146"/>
      <c r="H82" s="146"/>
      <c r="I82" s="141">
        <f t="shared" si="6"/>
        <v>0</v>
      </c>
      <c r="J82" s="28"/>
      <c r="K82" s="78"/>
      <c r="L82" s="91" t="s">
        <v>169</v>
      </c>
      <c r="M82" s="147"/>
      <c r="N82" s="150"/>
      <c r="O82" s="150"/>
      <c r="P82" s="150"/>
      <c r="Q82" s="146">
        <f t="shared" si="10"/>
        <v>0</v>
      </c>
      <c r="R82" s="141">
        <f t="shared" si="9"/>
        <v>0</v>
      </c>
      <c r="S82" s="116"/>
      <c r="T82" s="60"/>
      <c r="U82" s="60"/>
    </row>
    <row r="83" spans="1:21" ht="12.75">
      <c r="A83" s="7"/>
      <c r="B83" s="4"/>
      <c r="C83" s="5"/>
      <c r="D83" s="171"/>
      <c r="E83" s="146"/>
      <c r="F83" s="155"/>
      <c r="G83" s="146"/>
      <c r="H83" s="146"/>
      <c r="I83" s="141">
        <f t="shared" si="6"/>
        <v>0</v>
      </c>
      <c r="J83" s="28"/>
      <c r="K83" s="78"/>
      <c r="L83" s="255" t="s">
        <v>170</v>
      </c>
      <c r="M83" s="147">
        <v>163</v>
      </c>
      <c r="N83" s="150"/>
      <c r="O83" s="150"/>
      <c r="P83" s="173">
        <f>12/12*150</f>
        <v>150</v>
      </c>
      <c r="Q83" s="146">
        <f t="shared" si="10"/>
        <v>163</v>
      </c>
      <c r="R83" s="141">
        <f t="shared" si="9"/>
        <v>313</v>
      </c>
      <c r="S83" s="118">
        <f>3/3*2141/2141*((9/9)*(8157.81*0+6/6*15950.68*0+9/9*32968.65*0+12/12*59077.93)+(10/10)*105.59*0+6/6*212.1*0+9/9*325.22*0+12/12*459.47)</f>
        <v>59537.4</v>
      </c>
      <c r="T83" s="60"/>
      <c r="U83" s="60"/>
    </row>
    <row r="84" spans="1:21" ht="12.75" customHeight="1">
      <c r="A84" s="7"/>
      <c r="B84" s="4"/>
      <c r="C84" s="5"/>
      <c r="D84" s="171"/>
      <c r="E84" s="146"/>
      <c r="F84" s="155"/>
      <c r="G84" s="146"/>
      <c r="H84" s="146"/>
      <c r="I84" s="141">
        <f t="shared" si="6"/>
        <v>0</v>
      </c>
      <c r="J84" s="28"/>
      <c r="K84" s="78"/>
      <c r="L84" s="94" t="s">
        <v>171</v>
      </c>
      <c r="M84" s="147"/>
      <c r="N84" s="174">
        <f>9/9*-1704.4+1510.2</f>
        <v>-194.20000000000005</v>
      </c>
      <c r="O84" s="150"/>
      <c r="P84" s="150"/>
      <c r="Q84" s="146">
        <f t="shared" si="10"/>
        <v>-194.20000000000005</v>
      </c>
      <c r="R84" s="169">
        <f t="shared" si="9"/>
        <v>-194.20000000000005</v>
      </c>
      <c r="S84" s="122">
        <f>2221/2221*3755*0+9/9*-1704380.81+10/10*1510176.89</f>
        <v>-194203.92000000016</v>
      </c>
      <c r="T84" s="60"/>
      <c r="U84" s="60"/>
    </row>
    <row r="85" spans="1:21" ht="12.75" customHeight="1">
      <c r="A85" s="7"/>
      <c r="B85" s="4"/>
      <c r="C85" s="5"/>
      <c r="D85" s="171"/>
      <c r="E85" s="146"/>
      <c r="F85" s="155"/>
      <c r="G85" s="146"/>
      <c r="H85" s="146"/>
      <c r="I85" s="141">
        <f t="shared" si="6"/>
        <v>0</v>
      </c>
      <c r="J85" s="28"/>
      <c r="K85" s="87"/>
      <c r="L85" s="93" t="s">
        <v>172</v>
      </c>
      <c r="M85" s="147"/>
      <c r="N85" s="150"/>
      <c r="O85" s="150"/>
      <c r="P85" s="150"/>
      <c r="Q85" s="146"/>
      <c r="R85" s="169">
        <f t="shared" si="9"/>
        <v>0</v>
      </c>
      <c r="S85" s="122">
        <f>2210/2210*4/4*-41110.28</f>
        <v>-41110.28</v>
      </c>
      <c r="T85" s="60"/>
      <c r="U85" s="60"/>
    </row>
    <row r="86" spans="1:21" ht="12.75" customHeight="1">
      <c r="A86" s="7"/>
      <c r="B86" s="4"/>
      <c r="C86" s="5"/>
      <c r="D86" s="171"/>
      <c r="E86" s="146"/>
      <c r="F86" s="155"/>
      <c r="G86" s="146"/>
      <c r="H86" s="146"/>
      <c r="I86" s="141">
        <f t="shared" si="6"/>
        <v>0</v>
      </c>
      <c r="J86" s="28"/>
      <c r="K86" s="78"/>
      <c r="L86" s="91" t="s">
        <v>173</v>
      </c>
      <c r="M86" s="147"/>
      <c r="N86" s="150"/>
      <c r="O86" s="150"/>
      <c r="P86" s="150"/>
      <c r="Q86" s="146"/>
      <c r="R86" s="141">
        <f t="shared" si="9"/>
        <v>0</v>
      </c>
      <c r="S86" s="122">
        <v>-150000</v>
      </c>
      <c r="T86" s="60"/>
      <c r="U86" s="60"/>
    </row>
    <row r="87" spans="1:21" ht="12.75" hidden="1">
      <c r="A87" s="7"/>
      <c r="B87" s="4"/>
      <c r="C87" s="5"/>
      <c r="D87" s="171"/>
      <c r="E87" s="146"/>
      <c r="F87" s="155"/>
      <c r="G87" s="146"/>
      <c r="H87" s="146"/>
      <c r="I87" s="161"/>
      <c r="J87" s="28"/>
      <c r="K87" s="78"/>
      <c r="L87" s="91" t="s">
        <v>174</v>
      </c>
      <c r="M87" s="147"/>
      <c r="N87" s="150"/>
      <c r="O87" s="150"/>
      <c r="P87" s="150"/>
      <c r="Q87" s="146">
        <f>M87+N87</f>
        <v>0</v>
      </c>
      <c r="R87" s="161"/>
      <c r="S87" s="116"/>
      <c r="T87" s="60"/>
      <c r="U87" s="60"/>
    </row>
    <row r="88" spans="1:19" s="279" customFormat="1" ht="12.75" thickBot="1">
      <c r="A88" s="281"/>
      <c r="B88" s="282"/>
      <c r="C88" s="283"/>
      <c r="D88" s="175">
        <f>SUM(D70:D87)</f>
        <v>0</v>
      </c>
      <c r="E88" s="176">
        <f>SUM(E70:E87)</f>
        <v>0</v>
      </c>
      <c r="F88" s="177">
        <f>SUM(F70:F87)</f>
        <v>0</v>
      </c>
      <c r="G88" s="176"/>
      <c r="H88" s="178">
        <f>D88+E88</f>
        <v>0</v>
      </c>
      <c r="I88" s="177">
        <f>SUM(I70:I87)</f>
        <v>0</v>
      </c>
      <c r="J88" s="269">
        <f>SUM(J70:J87)</f>
        <v>0</v>
      </c>
      <c r="K88" s="284">
        <f>R88+(R107*0+R108*0+R119*0+R120*0+R124*0+R126*0)-((9/9)*5028.8+(10/10)*(132638.6-74847))</f>
        <v>-6905.600000000006</v>
      </c>
      <c r="L88" s="95">
        <f>S88+(S107*0+S108*0+S119*0+S120*0+S124*0+S126*0)-((9/9)*4831974.27+(10/10)*(158410324.19-101603089.61))</f>
        <v>-6690844.8500000015</v>
      </c>
      <c r="M88" s="175">
        <f>SUM(M70:M87)</f>
        <v>60539</v>
      </c>
      <c r="N88" s="176">
        <f>SUM(N70:N87)</f>
        <v>-2071</v>
      </c>
      <c r="O88" s="176"/>
      <c r="P88" s="177">
        <f>SUM(P70:P87)</f>
        <v>-2553.2</v>
      </c>
      <c r="Q88" s="178">
        <f>M88+N88</f>
        <v>58468</v>
      </c>
      <c r="R88" s="177">
        <f>SUM(R70:R87)</f>
        <v>55914.8</v>
      </c>
      <c r="S88" s="270">
        <f>SUM(S70:S87)</f>
        <v>54948363.99999999</v>
      </c>
    </row>
    <row r="89" spans="1:21" ht="14.25" thickBot="1" thickTop="1">
      <c r="A89" s="34" t="s">
        <v>74</v>
      </c>
      <c r="B89" s="35"/>
      <c r="C89" s="36"/>
      <c r="D89" s="179">
        <f>SUM(D4:D88)/2</f>
        <v>64406</v>
      </c>
      <c r="E89" s="180">
        <f>SUM(E4:E88)/2</f>
        <v>-2071</v>
      </c>
      <c r="F89" s="181">
        <f>SUM(F4:F88)/2</f>
        <v>-1029.9999999999977</v>
      </c>
      <c r="G89" s="180"/>
      <c r="H89" s="182">
        <f>SUM(H4:H88)/2</f>
        <v>62335</v>
      </c>
      <c r="I89" s="181">
        <f>SUM(I4:I88)/2</f>
        <v>61305</v>
      </c>
      <c r="J89" s="67">
        <f>SUM(J4:J88)/2</f>
        <v>59713679.47999999</v>
      </c>
      <c r="K89" s="96"/>
      <c r="L89" s="54" t="s">
        <v>175</v>
      </c>
      <c r="M89" s="179">
        <f>SUM(M4:M88)/2</f>
        <v>64406</v>
      </c>
      <c r="N89" s="180">
        <f>SUM(N4:N88)/2</f>
        <v>-2071</v>
      </c>
      <c r="O89" s="180"/>
      <c r="P89" s="181">
        <f>SUM(P4:P88)/2</f>
        <v>-1224.1999999999998</v>
      </c>
      <c r="Q89" s="182">
        <f>SUM(Q4:Q88)/2</f>
        <v>62335</v>
      </c>
      <c r="R89" s="181">
        <f>SUM(R4:R88)/2</f>
        <v>61110.8</v>
      </c>
      <c r="S89" s="123">
        <f>SUM(S4:S88)/2</f>
        <v>59862519.839999996</v>
      </c>
      <c r="T89" s="60"/>
      <c r="U89" s="60"/>
    </row>
    <row r="90" spans="12:21" ht="14.25" thickBot="1" thickTop="1">
      <c r="L90" s="259" t="s">
        <v>204</v>
      </c>
      <c r="M90" s="124">
        <f>M89-D89</f>
        <v>0</v>
      </c>
      <c r="N90" s="188">
        <f>N89-E89</f>
        <v>0</v>
      </c>
      <c r="O90" s="189">
        <f>O89-J89</f>
        <v>-59713679.47999999</v>
      </c>
      <c r="Q90" s="124">
        <f>Q89-H89</f>
        <v>0</v>
      </c>
      <c r="R90" s="191">
        <f>R89-I89</f>
        <v>-194.1999999999971</v>
      </c>
      <c r="S90" s="124">
        <f>S89-J89</f>
        <v>148840.36000000685</v>
      </c>
      <c r="T90" s="60"/>
      <c r="U90" s="60"/>
    </row>
    <row r="91" spans="8:21" ht="14.25" thickBot="1" thickTop="1">
      <c r="H91" s="193">
        <f>H89+G89*0+F89</f>
        <v>61305</v>
      </c>
      <c r="I91" s="194"/>
      <c r="L91" s="97"/>
      <c r="M91" s="124"/>
      <c r="N91" s="124"/>
      <c r="O91" s="189"/>
      <c r="Q91" s="181">
        <f>Q89+P89</f>
        <v>61110.8</v>
      </c>
      <c r="R91" s="194"/>
      <c r="S91" s="124"/>
      <c r="T91" s="60"/>
      <c r="U91" s="60"/>
    </row>
    <row r="92" spans="12:21" ht="14.25" thickBot="1" thickTop="1">
      <c r="L92" s="97"/>
      <c r="M92" s="124"/>
      <c r="N92" s="124"/>
      <c r="O92" s="189"/>
      <c r="Q92" s="192">
        <f>Q91-H91</f>
        <v>-194.1999999999971</v>
      </c>
      <c r="R92" s="194"/>
      <c r="S92" s="124"/>
      <c r="T92" s="60"/>
      <c r="U92" s="60"/>
    </row>
    <row r="93" spans="1:22" ht="24" thickBot="1" thickTop="1">
      <c r="A93" s="258" t="s">
        <v>75</v>
      </c>
      <c r="B93" s="39"/>
      <c r="C93" s="40"/>
      <c r="S93" s="60"/>
      <c r="T93" s="196" t="s">
        <v>206</v>
      </c>
      <c r="U93" s="197" t="s">
        <v>192</v>
      </c>
      <c r="V93" s="198" t="s">
        <v>193</v>
      </c>
    </row>
    <row r="94" spans="1:22" ht="13.5" thickTop="1">
      <c r="A94" s="41" t="s">
        <v>76</v>
      </c>
      <c r="B94" s="42" t="s">
        <v>77</v>
      </c>
      <c r="C94" s="43" t="s">
        <v>78</v>
      </c>
      <c r="D94" s="199"/>
      <c r="E94" s="200">
        <v>219.6</v>
      </c>
      <c r="F94" s="201"/>
      <c r="G94" s="200"/>
      <c r="H94" s="202">
        <f aca="true" t="shared" si="12" ref="H94:H122">D94+E94</f>
        <v>219.6</v>
      </c>
      <c r="I94" s="203">
        <f aca="true" t="shared" si="13" ref="I94:I127">H94+F94</f>
        <v>219.6</v>
      </c>
      <c r="J94" s="69">
        <f>436654-217034</f>
        <v>219620</v>
      </c>
      <c r="K94" s="99" t="s">
        <v>176</v>
      </c>
      <c r="L94" s="100"/>
      <c r="M94" s="204"/>
      <c r="N94" s="205"/>
      <c r="O94" s="205"/>
      <c r="P94" s="205"/>
      <c r="Q94" s="202">
        <f aca="true" t="shared" si="14" ref="Q94:Q123">M94+N94</f>
        <v>0</v>
      </c>
      <c r="R94" s="206"/>
      <c r="S94" s="125"/>
      <c r="T94" s="207">
        <f>219620-J94</f>
        <v>0</v>
      </c>
      <c r="U94" s="208"/>
      <c r="V94" s="209">
        <f>-J94-T94</f>
        <v>-219620</v>
      </c>
    </row>
    <row r="95" spans="1:22" ht="12.75">
      <c r="A95" s="44" t="s">
        <v>79</v>
      </c>
      <c r="B95" s="45" t="s">
        <v>77</v>
      </c>
      <c r="C95" s="46" t="s">
        <v>80</v>
      </c>
      <c r="D95" s="137"/>
      <c r="E95" s="138">
        <f>6/6*600</f>
        <v>600</v>
      </c>
      <c r="F95" s="139"/>
      <c r="G95" s="138"/>
      <c r="H95" s="146">
        <f t="shared" si="12"/>
        <v>600</v>
      </c>
      <c r="I95" s="210">
        <f t="shared" si="13"/>
        <v>600</v>
      </c>
      <c r="J95" s="63">
        <f>436654-90/90*219620+6/6*20002+8/8*22391-16/16*217034+10/10*94815+12/12*464971.3+13/13*-2179.3</f>
        <v>600000</v>
      </c>
      <c r="K95" s="101" t="s">
        <v>177</v>
      </c>
      <c r="L95" s="79"/>
      <c r="M95" s="147"/>
      <c r="N95" s="150">
        <f>6/6*600</f>
        <v>600</v>
      </c>
      <c r="O95" s="150"/>
      <c r="P95" s="150"/>
      <c r="Q95" s="146">
        <f>M95+N95</f>
        <v>600</v>
      </c>
      <c r="R95" s="169">
        <f>Q95+P95</f>
        <v>600</v>
      </c>
      <c r="S95" s="126">
        <f>8/8*300000+9/9*300000</f>
        <v>600000</v>
      </c>
      <c r="T95" s="211">
        <f>S95-J95</f>
        <v>0</v>
      </c>
      <c r="U95" s="212"/>
      <c r="V95" s="209"/>
    </row>
    <row r="96" spans="1:22" ht="12.75">
      <c r="A96" s="44" t="s">
        <v>76</v>
      </c>
      <c r="B96" s="4" t="s">
        <v>81</v>
      </c>
      <c r="C96" s="5" t="s">
        <v>82</v>
      </c>
      <c r="D96" s="143"/>
      <c r="E96" s="144">
        <f>8846/8846*16.5+8887/8887*51.7</f>
        <v>68.2</v>
      </c>
      <c r="F96" s="145"/>
      <c r="G96" s="144"/>
      <c r="H96" s="146">
        <f t="shared" si="12"/>
        <v>68.2</v>
      </c>
      <c r="I96" s="210">
        <f t="shared" si="13"/>
        <v>68.2</v>
      </c>
      <c r="J96" s="63">
        <f>8846/8846*(71424*0+90/90*16499.4)+8887/8887*90/90*(24968.7*0+7/7*51733.8)+3600*3/3*0</f>
        <v>68233.20000000001</v>
      </c>
      <c r="K96" s="78" t="s">
        <v>178</v>
      </c>
      <c r="L96" s="79"/>
      <c r="M96" s="147"/>
      <c r="N96" s="150"/>
      <c r="O96" s="150"/>
      <c r="P96" s="150"/>
      <c r="Q96" s="146">
        <f t="shared" si="14"/>
        <v>0</v>
      </c>
      <c r="R96" s="161"/>
      <c r="S96" s="116"/>
      <c r="T96" s="213">
        <f>(8846/8846*(500000-483500.6)+8887/8887*(725000-673266.2)+0)-J96</f>
        <v>0</v>
      </c>
      <c r="U96" s="214"/>
      <c r="V96" s="209">
        <f>-J96-T96</f>
        <v>-68233.20000000001</v>
      </c>
    </row>
    <row r="97" spans="1:22" ht="12.75">
      <c r="A97" s="44" t="s">
        <v>76</v>
      </c>
      <c r="B97" s="4" t="s">
        <v>83</v>
      </c>
      <c r="C97" s="5" t="s">
        <v>84</v>
      </c>
      <c r="D97" s="143"/>
      <c r="E97" s="144">
        <f>90/90*97.6+84/84*900*0</f>
        <v>97.6</v>
      </c>
      <c r="F97" s="155"/>
      <c r="G97" s="146"/>
      <c r="H97" s="146">
        <f t="shared" si="12"/>
        <v>97.6</v>
      </c>
      <c r="I97" s="169">
        <f t="shared" si="13"/>
        <v>97.6</v>
      </c>
      <c r="J97" s="63">
        <f>9/9*97615.05</f>
        <v>97615.05</v>
      </c>
      <c r="K97" s="78" t="s">
        <v>179</v>
      </c>
      <c r="L97" s="79"/>
      <c r="M97" s="147"/>
      <c r="N97" s="150"/>
      <c r="O97" s="150"/>
      <c r="P97" s="150"/>
      <c r="Q97" s="146">
        <f t="shared" si="14"/>
        <v>0</v>
      </c>
      <c r="R97" s="161"/>
      <c r="S97" s="116"/>
      <c r="T97" s="213">
        <f>8415/8415*97615.05-J97</f>
        <v>0</v>
      </c>
      <c r="U97" s="214"/>
      <c r="V97" s="209">
        <f>-J97-T97</f>
        <v>-97615.05</v>
      </c>
    </row>
    <row r="98" spans="1:22" ht="12.75">
      <c r="A98" s="44" t="s">
        <v>79</v>
      </c>
      <c r="B98" s="4" t="s">
        <v>83</v>
      </c>
      <c r="C98" s="5" t="s">
        <v>84</v>
      </c>
      <c r="D98" s="143"/>
      <c r="E98" s="144">
        <f>90/90*97.6*0+84/84*900</f>
        <v>900</v>
      </c>
      <c r="F98" s="155"/>
      <c r="G98" s="146"/>
      <c r="H98" s="146">
        <f>D98+E98</f>
        <v>900</v>
      </c>
      <c r="I98" s="169">
        <f t="shared" si="13"/>
        <v>900</v>
      </c>
      <c r="J98" s="63">
        <f>9/9*632283.95*0+12/12*924275.95+13/13*-24275.95</f>
        <v>900000</v>
      </c>
      <c r="K98" s="101" t="s">
        <v>177</v>
      </c>
      <c r="L98" s="79"/>
      <c r="M98" s="147"/>
      <c r="N98" s="150">
        <v>900</v>
      </c>
      <c r="O98" s="150"/>
      <c r="P98" s="150"/>
      <c r="Q98" s="146">
        <f t="shared" si="14"/>
        <v>900</v>
      </c>
      <c r="R98" s="169">
        <f>Q98+P98</f>
        <v>900</v>
      </c>
      <c r="S98" s="122">
        <f>6/6*300000+7/7*300000+8/8*300000</f>
        <v>900000</v>
      </c>
      <c r="T98" s="211">
        <f>S98-J98</f>
        <v>0</v>
      </c>
      <c r="U98" s="214"/>
      <c r="V98" s="209"/>
    </row>
    <row r="99" spans="1:22" ht="12.75">
      <c r="A99" s="44" t="s">
        <v>76</v>
      </c>
      <c r="B99" s="4" t="s">
        <v>85</v>
      </c>
      <c r="C99" s="5" t="s">
        <v>86</v>
      </c>
      <c r="D99" s="143"/>
      <c r="E99" s="144">
        <f>90/90*242.4</f>
        <v>242.4</v>
      </c>
      <c r="F99" s="145"/>
      <c r="G99" s="144"/>
      <c r="H99" s="146">
        <f t="shared" si="12"/>
        <v>242.4</v>
      </c>
      <c r="I99" s="169">
        <f t="shared" si="13"/>
        <v>242.4</v>
      </c>
      <c r="J99" s="63">
        <f>(107100+355872.2)*0+3/3*(13400+8233/8233*178500+8290/8290*355072.2)*0+4/4*(355072.2-16/16*112699.6)</f>
        <v>242372.6</v>
      </c>
      <c r="K99" s="101" t="s">
        <v>180</v>
      </c>
      <c r="L99" s="79"/>
      <c r="M99" s="147"/>
      <c r="N99" s="150"/>
      <c r="O99" s="150"/>
      <c r="P99" s="150"/>
      <c r="Q99" s="146">
        <f t="shared" si="14"/>
        <v>0</v>
      </c>
      <c r="R99" s="161"/>
      <c r="S99" s="116"/>
      <c r="T99" s="213">
        <f>8829/8829*242372.6-J99</f>
        <v>0</v>
      </c>
      <c r="U99" s="214"/>
      <c r="V99" s="209">
        <f>-J99-T99</f>
        <v>-242372.6</v>
      </c>
    </row>
    <row r="100" spans="1:22" ht="12.75">
      <c r="A100" s="44" t="s">
        <v>76</v>
      </c>
      <c r="B100" s="4" t="s">
        <v>87</v>
      </c>
      <c r="C100" s="5" t="s">
        <v>88</v>
      </c>
      <c r="D100" s="143"/>
      <c r="E100" s="144">
        <f>90/90*90.1</f>
        <v>90.1</v>
      </c>
      <c r="F100" s="145"/>
      <c r="G100" s="144"/>
      <c r="H100" s="146">
        <f t="shared" si="12"/>
        <v>90.1</v>
      </c>
      <c r="I100" s="169">
        <f t="shared" si="13"/>
        <v>90.1</v>
      </c>
      <c r="J100" s="70">
        <f>147553-16/16*57461</f>
        <v>90092</v>
      </c>
      <c r="K100" s="101" t="s">
        <v>180</v>
      </c>
      <c r="L100" s="79"/>
      <c r="M100" s="147"/>
      <c r="N100" s="150"/>
      <c r="O100" s="150"/>
      <c r="P100" s="150"/>
      <c r="Q100" s="146">
        <f t="shared" si="14"/>
        <v>0</v>
      </c>
      <c r="R100" s="161"/>
      <c r="S100" s="127"/>
      <c r="T100" s="213">
        <f>8895/8895*90092-J100</f>
        <v>0</v>
      </c>
      <c r="U100" s="214"/>
      <c r="V100" s="209">
        <f>-J100-T100</f>
        <v>-90092</v>
      </c>
    </row>
    <row r="101" spans="1:22" ht="12.75">
      <c r="A101" s="44" t="s">
        <v>89</v>
      </c>
      <c r="B101" s="2" t="s">
        <v>90</v>
      </c>
      <c r="C101" s="3" t="s">
        <v>2</v>
      </c>
      <c r="D101" s="137"/>
      <c r="E101" s="138">
        <v>195.1</v>
      </c>
      <c r="F101" s="139"/>
      <c r="G101" s="138"/>
      <c r="H101" s="140">
        <f>D101+E101</f>
        <v>195.1</v>
      </c>
      <c r="I101" s="210">
        <f t="shared" si="13"/>
        <v>195.1</v>
      </c>
      <c r="J101" s="63">
        <v>0</v>
      </c>
      <c r="K101" s="101" t="s">
        <v>177</v>
      </c>
      <c r="L101" s="77"/>
      <c r="M101" s="142"/>
      <c r="N101" s="138">
        <v>195.1</v>
      </c>
      <c r="O101" s="138"/>
      <c r="P101" s="138"/>
      <c r="Q101" s="140">
        <f>M101+N101</f>
        <v>195.1</v>
      </c>
      <c r="R101" s="169">
        <f aca="true" t="shared" si="15" ref="R101:R127">Q101+P101</f>
        <v>195.1</v>
      </c>
      <c r="S101" s="122">
        <f>3/3*195100</f>
        <v>195100</v>
      </c>
      <c r="T101" s="273">
        <f>S101-J101</f>
        <v>195100</v>
      </c>
      <c r="U101" s="214"/>
      <c r="V101" s="209"/>
    </row>
    <row r="102" spans="1:22" ht="12.75">
      <c r="A102" s="44" t="s">
        <v>91</v>
      </c>
      <c r="B102" s="4" t="s">
        <v>92</v>
      </c>
      <c r="C102" s="5" t="s">
        <v>3</v>
      </c>
      <c r="D102" s="143"/>
      <c r="E102" s="160">
        <f>3300+12/12*300</f>
        <v>3600</v>
      </c>
      <c r="F102" s="145"/>
      <c r="G102" s="144"/>
      <c r="H102" s="146">
        <f t="shared" si="12"/>
        <v>3600</v>
      </c>
      <c r="I102" s="210">
        <f t="shared" si="13"/>
        <v>3600</v>
      </c>
      <c r="J102" s="63">
        <f>825000*0+4/4*1025000*0+5/5*1375000*0+7/7*1925000*0+8/8*2200000*0+9/9*2612500*0+10/10*2887500*0+12/12*3600000*0+13/13*3702157.66</f>
        <v>3702157.66</v>
      </c>
      <c r="K102" s="101" t="s">
        <v>177</v>
      </c>
      <c r="L102" s="79"/>
      <c r="M102" s="147"/>
      <c r="N102" s="160">
        <f>3300+12/12*300</f>
        <v>3600</v>
      </c>
      <c r="O102" s="144"/>
      <c r="P102" s="144"/>
      <c r="Q102" s="146">
        <f t="shared" si="14"/>
        <v>3600</v>
      </c>
      <c r="R102" s="169">
        <f t="shared" si="15"/>
        <v>3600</v>
      </c>
      <c r="S102" s="122">
        <f>3300000+12/12*300000</f>
        <v>3600000</v>
      </c>
      <c r="T102" s="273">
        <f aca="true" t="shared" si="16" ref="T102:T127">S102-J102</f>
        <v>-102157.66000000015</v>
      </c>
      <c r="U102" s="214"/>
      <c r="V102" s="209"/>
    </row>
    <row r="103" spans="1:22" ht="12.75">
      <c r="A103" s="44" t="s">
        <v>91</v>
      </c>
      <c r="B103" s="14" t="s">
        <v>93</v>
      </c>
      <c r="C103" s="5" t="s">
        <v>20</v>
      </c>
      <c r="D103" s="143"/>
      <c r="E103" s="144">
        <v>70</v>
      </c>
      <c r="F103" s="145"/>
      <c r="G103" s="144"/>
      <c r="H103" s="146">
        <f t="shared" si="12"/>
        <v>70</v>
      </c>
      <c r="I103" s="169">
        <f t="shared" si="13"/>
        <v>70</v>
      </c>
      <c r="J103" s="63">
        <f>2000*0+3/3*2550*0+4/4*4850*0+5/5*8650*0+6/6*10350*0+7/7*10950*0+9/9*13650*0+12/12*70001.2</f>
        <v>70001.2</v>
      </c>
      <c r="K103" s="101" t="s">
        <v>177</v>
      </c>
      <c r="L103" s="84" t="s">
        <v>141</v>
      </c>
      <c r="M103" s="147"/>
      <c r="N103" s="144">
        <v>70</v>
      </c>
      <c r="O103" s="144"/>
      <c r="P103" s="144"/>
      <c r="Q103" s="146">
        <f t="shared" si="14"/>
        <v>70</v>
      </c>
      <c r="R103" s="169">
        <f t="shared" si="15"/>
        <v>70</v>
      </c>
      <c r="S103" s="122">
        <f>3/3*70000</f>
        <v>70000</v>
      </c>
      <c r="T103" s="211">
        <f t="shared" si="16"/>
        <v>-1.1999999999970896</v>
      </c>
      <c r="U103" s="214"/>
      <c r="V103" s="215"/>
    </row>
    <row r="104" spans="1:22" ht="12.75">
      <c r="A104" s="44" t="s">
        <v>94</v>
      </c>
      <c r="B104" s="15" t="s">
        <v>21</v>
      </c>
      <c r="C104" s="5" t="s">
        <v>22</v>
      </c>
      <c r="D104" s="143"/>
      <c r="E104" s="145">
        <f>11983.5*0+6/6*21413.5+8/8*1500+9/9*4570+11/11*(-5343.5-1000)+12/12*(1160-1700)-E105</f>
        <v>6640</v>
      </c>
      <c r="F104" s="145"/>
      <c r="G104" s="144"/>
      <c r="H104" s="146">
        <f t="shared" si="12"/>
        <v>6640</v>
      </c>
      <c r="I104" s="169">
        <f t="shared" si="13"/>
        <v>6640</v>
      </c>
      <c r="J104" s="63">
        <f>71/71*(8/8*367853*0+9/9*432695*0+10/10*494715*0+12/12*632220)+72/72*(8/8*5846*0+9/9*9692*0+10/10*15938*0+12/12*23994)+73/73*(8/8*227630*0+9/9*242224*0+10/10*256639*0+12/12*275575)+77/77*(8/8*3000*0+9/9*5000*0+10/10*6000*0+12/12*8000)+79/79*(8/8*9/9*151509)+81/81*(8/8*0)+82/82*(8/8*534311*0+9/9*675671*0+10/10*683431*0+12/12*738351)+83/83*(8/8*4800*0+9/9*5400*0+10/10*6000*0+12/12*7200)+84/84*(8/8*335000*0+10/10*485000)+85/85*(8/8*2145925*0+9/9*2165831*0+10/10*2164748*0+12/12*2236598)+86/86*(8/8*77466*0+12/12*83966)-1/1*786715*0-2/2*1633100*0-3/3*2300767*0-4/4*2646829*0+5/5*2874139*0+6/6*9932826*0+7/7*11544472*0+8/8*(-3853340+13307340)*0+9/9*(-4100488+14769488)*0+10/10*(-4341446+16245446)*0+12/12*(-4642413+19379413)-J105</f>
        <v>4642413</v>
      </c>
      <c r="K104" s="101">
        <f>J104/(H104*1000)</f>
        <v>0.6991585843373493</v>
      </c>
      <c r="L104" s="84" t="s">
        <v>143</v>
      </c>
      <c r="M104" s="147"/>
      <c r="N104" s="162">
        <f>11983.5+11/11*-5343.5+12/12*-1700</f>
        <v>4940</v>
      </c>
      <c r="O104" s="144"/>
      <c r="P104" s="144"/>
      <c r="Q104" s="146">
        <f t="shared" si="14"/>
        <v>4940</v>
      </c>
      <c r="R104" s="169">
        <f t="shared" si="15"/>
        <v>4940</v>
      </c>
      <c r="S104" s="122">
        <f>3640000+5/5*400000+8/8*500000+10/10*400000</f>
        <v>4940000</v>
      </c>
      <c r="T104" s="294">
        <f t="shared" si="16"/>
        <v>297587</v>
      </c>
      <c r="U104" s="214"/>
      <c r="V104" s="215"/>
    </row>
    <row r="105" spans="1:22" ht="12.75">
      <c r="A105" s="44" t="s">
        <v>95</v>
      </c>
      <c r="B105" s="15">
        <v>4195</v>
      </c>
      <c r="C105" s="5" t="s">
        <v>23</v>
      </c>
      <c r="D105" s="143"/>
      <c r="E105" s="148">
        <f>7075+(6/6*2355+8/8*1500+9/9*4570)+11/11*(-5343.5*0-1000)+12/12*(1160-1700)</f>
        <v>13960</v>
      </c>
      <c r="F105" s="145"/>
      <c r="G105" s="144"/>
      <c r="H105" s="146">
        <f t="shared" si="12"/>
        <v>13960</v>
      </c>
      <c r="I105" s="169">
        <f t="shared" si="13"/>
        <v>13960</v>
      </c>
      <c r="J105" s="63">
        <f>2/2*1950000*0+3/3*3125000*0+4/4*4278000*0+5/5*5512000*0+6/6*6603000*0+7/7*7993000*0+8/8*9454000*0+9/9*10669000*0+10/10*11904000*0+12/12*(14167000+570000)</f>
        <v>14737000</v>
      </c>
      <c r="K105" s="101">
        <f>J105/(H105*1000)</f>
        <v>1.0556590257879657</v>
      </c>
      <c r="L105" s="84" t="s">
        <v>144</v>
      </c>
      <c r="M105" s="147"/>
      <c r="N105" s="159">
        <f>7075+2355+8/8*1500+9/9*4570+11/11*-1000+1160</f>
        <v>15660</v>
      </c>
      <c r="O105" s="144"/>
      <c r="P105" s="144"/>
      <c r="Q105" s="146">
        <f t="shared" si="14"/>
        <v>15660</v>
      </c>
      <c r="R105" s="169">
        <f t="shared" si="15"/>
        <v>15660</v>
      </c>
      <c r="S105" s="122">
        <f>2011320+3/3*1093000+4/4*1350000+5/5*1077680+6/6*1348000+7/7*1490000+8/8*1243000+9/9*1560000+10/10*1381000+12/12*3106000</f>
        <v>15660000</v>
      </c>
      <c r="T105" s="294">
        <f t="shared" si="16"/>
        <v>923000</v>
      </c>
      <c r="U105" s="214"/>
      <c r="V105" s="295">
        <f>T105+T104</f>
        <v>1220587</v>
      </c>
    </row>
    <row r="106" spans="1:22" ht="12.75">
      <c r="A106" s="44" t="s">
        <v>91</v>
      </c>
      <c r="B106" s="4" t="s">
        <v>96</v>
      </c>
      <c r="C106" s="5" t="s">
        <v>97</v>
      </c>
      <c r="D106" s="143"/>
      <c r="E106" s="144">
        <v>70</v>
      </c>
      <c r="F106" s="145"/>
      <c r="G106" s="144"/>
      <c r="H106" s="146">
        <f t="shared" si="12"/>
        <v>70</v>
      </c>
      <c r="I106" s="169">
        <f t="shared" si="13"/>
        <v>70</v>
      </c>
      <c r="J106" s="63">
        <f>4/4*70000</f>
        <v>70000</v>
      </c>
      <c r="K106" s="101" t="s">
        <v>177</v>
      </c>
      <c r="L106" s="102">
        <f>J104+J105-14769488</f>
        <v>4609925</v>
      </c>
      <c r="M106" s="147"/>
      <c r="N106" s="144">
        <v>70</v>
      </c>
      <c r="O106" s="144"/>
      <c r="P106" s="144"/>
      <c r="Q106" s="146">
        <f t="shared" si="14"/>
        <v>70</v>
      </c>
      <c r="R106" s="169">
        <f t="shared" si="15"/>
        <v>70</v>
      </c>
      <c r="S106" s="122">
        <f>3/3*70000</f>
        <v>70000</v>
      </c>
      <c r="T106" s="211">
        <f t="shared" si="16"/>
        <v>0</v>
      </c>
      <c r="U106" s="214"/>
      <c r="V106" s="215"/>
    </row>
    <row r="107" spans="1:22" ht="12.75">
      <c r="A107" s="44" t="s">
        <v>98</v>
      </c>
      <c r="B107" s="4">
        <v>6171</v>
      </c>
      <c r="C107" s="5" t="s">
        <v>99</v>
      </c>
      <c r="D107" s="143"/>
      <c r="E107" s="144">
        <f>278+5/5*340+7/7*340+10/10*340</f>
        <v>1298</v>
      </c>
      <c r="F107" s="145"/>
      <c r="G107" s="144"/>
      <c r="H107" s="146">
        <f t="shared" si="12"/>
        <v>1298</v>
      </c>
      <c r="I107" s="169">
        <f t="shared" si="13"/>
        <v>1298</v>
      </c>
      <c r="J107" s="63">
        <f>6/6*617962*0+8/8*957924*0+13/13*((11/11*971450+31/31*257139+32/32*89098+36/36*2041.29+39/39*36094.23+62/62*30514.89+69/69*23964.24+73/73*13140+1/1*4080)+732/732*(1115.44+5520.15+17486.2+5717.39))</f>
        <v>1457360.8299999998</v>
      </c>
      <c r="K107" s="78" t="s">
        <v>181</v>
      </c>
      <c r="L107" s="102">
        <f>H104+H105-27483.5</f>
        <v>-6883.5</v>
      </c>
      <c r="M107" s="147"/>
      <c r="N107" s="144">
        <f>278+5/5*340+7/7*340+10/10*340</f>
        <v>1298</v>
      </c>
      <c r="O107" s="144"/>
      <c r="P107" s="144"/>
      <c r="Q107" s="146">
        <f t="shared" si="14"/>
        <v>1298</v>
      </c>
      <c r="R107" s="169">
        <f t="shared" si="15"/>
        <v>1298</v>
      </c>
      <c r="S107" s="128">
        <f>278000*0+3/3*202150*0+5/5*339962*0+6/6*957924*0+10/10*1297887</f>
        <v>1297887</v>
      </c>
      <c r="T107" s="211">
        <f t="shared" si="16"/>
        <v>-159473.82999999984</v>
      </c>
      <c r="U107" s="214"/>
      <c r="V107" s="215"/>
    </row>
    <row r="108" spans="1:22" ht="12.75">
      <c r="A108" s="44" t="s">
        <v>100</v>
      </c>
      <c r="B108" s="4">
        <v>6171</v>
      </c>
      <c r="C108" s="5" t="s">
        <v>101</v>
      </c>
      <c r="D108" s="143"/>
      <c r="E108" s="144">
        <f>202.1</f>
        <v>202.1</v>
      </c>
      <c r="F108" s="145"/>
      <c r="G108" s="144"/>
      <c r="H108" s="146">
        <f t="shared" si="12"/>
        <v>202.1</v>
      </c>
      <c r="I108" s="169">
        <f t="shared" si="13"/>
        <v>202.1</v>
      </c>
      <c r="J108" s="63">
        <f>6/6*202150</f>
        <v>202150</v>
      </c>
      <c r="K108" s="78" t="s">
        <v>181</v>
      </c>
      <c r="L108" s="79"/>
      <c r="M108" s="147"/>
      <c r="N108" s="144">
        <f>4/4*98116/98116*202.1</f>
        <v>202.1</v>
      </c>
      <c r="O108" s="144"/>
      <c r="P108" s="144"/>
      <c r="Q108" s="146">
        <f t="shared" si="14"/>
        <v>202.1</v>
      </c>
      <c r="R108" s="169">
        <f t="shared" si="15"/>
        <v>202.1</v>
      </c>
      <c r="S108" s="128">
        <f>278000*0+3/3*202150</f>
        <v>202150</v>
      </c>
      <c r="T108" s="211">
        <f t="shared" si="16"/>
        <v>0</v>
      </c>
      <c r="U108" s="214"/>
      <c r="V108" s="215"/>
    </row>
    <row r="109" spans="1:22" ht="12.75">
      <c r="A109" s="44" t="s">
        <v>79</v>
      </c>
      <c r="B109" s="4" t="s">
        <v>96</v>
      </c>
      <c r="C109" s="5" t="s">
        <v>102</v>
      </c>
      <c r="D109" s="143"/>
      <c r="E109" s="144">
        <f>4/4*7599/7599*2900</f>
        <v>2900</v>
      </c>
      <c r="F109" s="145"/>
      <c r="G109" s="144"/>
      <c r="H109" s="146">
        <f t="shared" si="12"/>
        <v>2900</v>
      </c>
      <c r="I109" s="169">
        <f t="shared" si="13"/>
        <v>2900</v>
      </c>
      <c r="J109" s="63">
        <f>4/4*0+6/6*30000*0+8/8*41500*0+9/9*2033960*0+10/10*2057960*0+12/12*2563088</f>
        <v>2563088</v>
      </c>
      <c r="K109" s="103" t="s">
        <v>177</v>
      </c>
      <c r="L109" s="79"/>
      <c r="M109" s="147"/>
      <c r="N109" s="144">
        <f>4/4*7599/7599*2900</f>
        <v>2900</v>
      </c>
      <c r="O109" s="144"/>
      <c r="P109" s="144"/>
      <c r="Q109" s="146">
        <f t="shared" si="14"/>
        <v>2900</v>
      </c>
      <c r="R109" s="169">
        <f t="shared" si="15"/>
        <v>2900</v>
      </c>
      <c r="S109" s="122">
        <f>6/6*100000+7/7*1400000+8/8*1400000</f>
        <v>2900000</v>
      </c>
      <c r="T109" s="294">
        <f t="shared" si="16"/>
        <v>336912</v>
      </c>
      <c r="U109" s="214"/>
      <c r="V109" s="215"/>
    </row>
    <row r="110" spans="1:22" ht="12.75">
      <c r="A110" s="44" t="s">
        <v>79</v>
      </c>
      <c r="B110" s="4" t="s">
        <v>103</v>
      </c>
      <c r="C110" s="5" t="s">
        <v>104</v>
      </c>
      <c r="D110" s="143"/>
      <c r="E110" s="144">
        <f>4/4*8425/8425*3000</f>
        <v>3000</v>
      </c>
      <c r="F110" s="145"/>
      <c r="G110" s="144"/>
      <c r="H110" s="146">
        <f t="shared" si="12"/>
        <v>3000</v>
      </c>
      <c r="I110" s="169">
        <f t="shared" si="13"/>
        <v>3000</v>
      </c>
      <c r="J110" s="63">
        <f>4/4*0+9/9*96817*0+10/10*103317*0+12/12*2849182.5</f>
        <v>2849182.5</v>
      </c>
      <c r="K110" s="103" t="s">
        <v>177</v>
      </c>
      <c r="L110" s="79"/>
      <c r="M110" s="147"/>
      <c r="N110" s="144">
        <f>4/4*8425/8425*3000</f>
        <v>3000</v>
      </c>
      <c r="O110" s="144"/>
      <c r="P110" s="144"/>
      <c r="Q110" s="146">
        <f t="shared" si="14"/>
        <v>3000</v>
      </c>
      <c r="R110" s="169">
        <f t="shared" si="15"/>
        <v>3000</v>
      </c>
      <c r="S110" s="122">
        <f>6/6*1000000+7/7*1000000+8/8*1000000</f>
        <v>3000000</v>
      </c>
      <c r="T110" s="294">
        <f t="shared" si="16"/>
        <v>150817.5</v>
      </c>
      <c r="U110" s="214"/>
      <c r="V110" s="215"/>
    </row>
    <row r="111" spans="1:22" ht="12.75">
      <c r="A111" s="44" t="s">
        <v>91</v>
      </c>
      <c r="B111" s="4" t="s">
        <v>105</v>
      </c>
      <c r="C111" s="5" t="s">
        <v>106</v>
      </c>
      <c r="D111" s="143"/>
      <c r="E111" s="144">
        <f>4/4*81/81*383+10/10*128</f>
        <v>511</v>
      </c>
      <c r="F111" s="160">
        <f>20052006/20052006*165*16/16*0</f>
        <v>0</v>
      </c>
      <c r="G111" s="144"/>
      <c r="H111" s="146">
        <f t="shared" si="12"/>
        <v>511</v>
      </c>
      <c r="I111" s="216">
        <f t="shared" si="13"/>
        <v>511</v>
      </c>
      <c r="J111" s="63">
        <f>4/4*0+12/12*675878+13/13*-164878</f>
        <v>511000</v>
      </c>
      <c r="K111" s="103" t="s">
        <v>177</v>
      </c>
      <c r="L111" s="102">
        <f>S111+S103+S121-553000</f>
        <v>128000</v>
      </c>
      <c r="M111" s="147"/>
      <c r="N111" s="160">
        <f>4/4*81/81*383+10/10*128+12/12*170*0</f>
        <v>511</v>
      </c>
      <c r="O111" s="144"/>
      <c r="P111" s="144"/>
      <c r="Q111" s="146">
        <f t="shared" si="14"/>
        <v>511</v>
      </c>
      <c r="R111" s="169">
        <f t="shared" si="15"/>
        <v>511</v>
      </c>
      <c r="S111" s="122">
        <f>4/4*383000+10/10*128000+12/12*170000*0</f>
        <v>511000</v>
      </c>
      <c r="T111" s="211">
        <f t="shared" si="16"/>
        <v>0</v>
      </c>
      <c r="U111" s="214"/>
      <c r="V111" s="215"/>
    </row>
    <row r="112" spans="1:22" ht="12.75">
      <c r="A112" s="44" t="s">
        <v>91</v>
      </c>
      <c r="B112" s="4" t="s">
        <v>107</v>
      </c>
      <c r="C112" s="5" t="s">
        <v>108</v>
      </c>
      <c r="D112" s="143"/>
      <c r="E112" s="144">
        <f>4/4*81/81*39.8</f>
        <v>39.8</v>
      </c>
      <c r="F112" s="145"/>
      <c r="G112" s="144"/>
      <c r="H112" s="146">
        <f t="shared" si="12"/>
        <v>39.8</v>
      </c>
      <c r="I112" s="169">
        <f t="shared" si="13"/>
        <v>39.8</v>
      </c>
      <c r="J112" s="63">
        <f>4/4*39800</f>
        <v>39800</v>
      </c>
      <c r="K112" s="103" t="s">
        <v>177</v>
      </c>
      <c r="L112" s="79"/>
      <c r="M112" s="147"/>
      <c r="N112" s="144">
        <f>4/4*39.8</f>
        <v>39.8</v>
      </c>
      <c r="O112" s="144"/>
      <c r="P112" s="144"/>
      <c r="Q112" s="146">
        <f t="shared" si="14"/>
        <v>39.8</v>
      </c>
      <c r="R112" s="169">
        <f t="shared" si="15"/>
        <v>39.8</v>
      </c>
      <c r="S112" s="122">
        <f>4/4*39800</f>
        <v>39800</v>
      </c>
      <c r="T112" s="213">
        <f>S112-J112</f>
        <v>0</v>
      </c>
      <c r="U112" s="214"/>
      <c r="V112" s="215"/>
    </row>
    <row r="113" spans="1:22" ht="12.75">
      <c r="A113" s="44" t="s">
        <v>79</v>
      </c>
      <c r="B113" s="4" t="s">
        <v>85</v>
      </c>
      <c r="C113" s="5" t="s">
        <v>109</v>
      </c>
      <c r="D113" s="143"/>
      <c r="E113" s="144">
        <f>4/4*4387/4387*150</f>
        <v>150</v>
      </c>
      <c r="F113" s="145"/>
      <c r="G113" s="144"/>
      <c r="H113" s="146">
        <f t="shared" si="12"/>
        <v>150</v>
      </c>
      <c r="I113" s="169">
        <f t="shared" si="13"/>
        <v>150</v>
      </c>
      <c r="J113" s="63">
        <f>4/4*0+12/12*(210035-60035*0)+13/13*16/16*-60035</f>
        <v>150000</v>
      </c>
      <c r="K113" s="103" t="s">
        <v>177</v>
      </c>
      <c r="L113" s="79"/>
      <c r="M113" s="147"/>
      <c r="N113" s="144">
        <f>4/4*4387/4387*150</f>
        <v>150</v>
      </c>
      <c r="O113" s="144"/>
      <c r="P113" s="144"/>
      <c r="Q113" s="146">
        <f t="shared" si="14"/>
        <v>150</v>
      </c>
      <c r="R113" s="169">
        <f t="shared" si="15"/>
        <v>150</v>
      </c>
      <c r="S113" s="122">
        <f>6/6*150000</f>
        <v>150000</v>
      </c>
      <c r="T113" s="211">
        <f t="shared" si="16"/>
        <v>0</v>
      </c>
      <c r="U113" s="214"/>
      <c r="V113" s="215"/>
    </row>
    <row r="114" spans="1:22" ht="12.75">
      <c r="A114" s="44" t="s">
        <v>79</v>
      </c>
      <c r="B114" s="4" t="s">
        <v>85</v>
      </c>
      <c r="C114" s="5" t="s">
        <v>110</v>
      </c>
      <c r="D114" s="143"/>
      <c r="E114" s="144">
        <f>4/4*8233/8233*6000</f>
        <v>6000</v>
      </c>
      <c r="F114" s="145"/>
      <c r="G114" s="144"/>
      <c r="H114" s="146">
        <f t="shared" si="12"/>
        <v>6000</v>
      </c>
      <c r="I114" s="169">
        <f t="shared" si="13"/>
        <v>6000</v>
      </c>
      <c r="J114" s="63">
        <f>4/4*178500*0+6/6*505750*0+7/7*(1362550-327250+327250)*0+12/12*6000000.3+13/13*-0.3</f>
        <v>6000000</v>
      </c>
      <c r="K114" s="103" t="s">
        <v>177</v>
      </c>
      <c r="L114" s="79"/>
      <c r="M114" s="147"/>
      <c r="N114" s="144">
        <f>4/4*8233/8233*6000</f>
        <v>6000</v>
      </c>
      <c r="O114" s="144"/>
      <c r="P114" s="144"/>
      <c r="Q114" s="146">
        <f t="shared" si="14"/>
        <v>6000</v>
      </c>
      <c r="R114" s="169">
        <f t="shared" si="15"/>
        <v>6000</v>
      </c>
      <c r="S114" s="122">
        <f>6/6*1000000+11/11*2500000+12/12*2500000</f>
        <v>6000000</v>
      </c>
      <c r="T114" s="211">
        <f t="shared" si="16"/>
        <v>0</v>
      </c>
      <c r="U114" s="214"/>
      <c r="V114" s="215"/>
    </row>
    <row r="115" spans="1:22" ht="12.75">
      <c r="A115" s="44" t="s">
        <v>91</v>
      </c>
      <c r="B115" s="4" t="s">
        <v>111</v>
      </c>
      <c r="C115" s="5" t="s">
        <v>112</v>
      </c>
      <c r="D115" s="143"/>
      <c r="E115" s="144">
        <f>5/5*81/81*100</f>
        <v>100</v>
      </c>
      <c r="F115" s="145"/>
      <c r="G115" s="144"/>
      <c r="H115" s="146">
        <f t="shared" si="12"/>
        <v>100</v>
      </c>
      <c r="I115" s="210">
        <f t="shared" si="13"/>
        <v>100</v>
      </c>
      <c r="J115" s="63">
        <f>4/4*0+12/12*102640.5</f>
        <v>102640.5</v>
      </c>
      <c r="K115" s="103" t="s">
        <v>177</v>
      </c>
      <c r="L115" s="79"/>
      <c r="M115" s="147"/>
      <c r="N115" s="144">
        <f>5/5*81/81*100</f>
        <v>100</v>
      </c>
      <c r="O115" s="144"/>
      <c r="P115" s="144"/>
      <c r="Q115" s="146">
        <f t="shared" si="14"/>
        <v>100</v>
      </c>
      <c r="R115" s="169">
        <f t="shared" si="15"/>
        <v>100</v>
      </c>
      <c r="S115" s="122">
        <f>5/5*100000</f>
        <v>100000</v>
      </c>
      <c r="T115" s="211">
        <f t="shared" si="16"/>
        <v>-2640.5</v>
      </c>
      <c r="U115" s="214"/>
      <c r="V115" s="215"/>
    </row>
    <row r="116" spans="1:22" ht="12.75">
      <c r="A116" s="44" t="s">
        <v>79</v>
      </c>
      <c r="B116" s="4" t="s">
        <v>111</v>
      </c>
      <c r="C116" s="5" t="s">
        <v>113</v>
      </c>
      <c r="D116" s="143"/>
      <c r="E116" s="144">
        <f>5/5*84/84*1000</f>
        <v>1000</v>
      </c>
      <c r="F116" s="145"/>
      <c r="G116" s="144"/>
      <c r="H116" s="146">
        <f t="shared" si="12"/>
        <v>1000</v>
      </c>
      <c r="I116" s="210">
        <f t="shared" si="13"/>
        <v>1000</v>
      </c>
      <c r="J116" s="63">
        <f>4/4*0</f>
        <v>0</v>
      </c>
      <c r="K116" s="103" t="s">
        <v>177</v>
      </c>
      <c r="L116" s="79"/>
      <c r="M116" s="147"/>
      <c r="N116" s="144">
        <f>5/5*84/84*1000</f>
        <v>1000</v>
      </c>
      <c r="O116" s="144"/>
      <c r="P116" s="144"/>
      <c r="Q116" s="146">
        <f t="shared" si="14"/>
        <v>1000</v>
      </c>
      <c r="R116" s="169">
        <f t="shared" si="15"/>
        <v>1000</v>
      </c>
      <c r="S116" s="122">
        <f>7/7*500000+8/8*500000</f>
        <v>1000000</v>
      </c>
      <c r="T116" s="294">
        <f t="shared" si="16"/>
        <v>1000000</v>
      </c>
      <c r="U116" s="214"/>
      <c r="V116" s="215"/>
    </row>
    <row r="117" spans="1:22" ht="12.75">
      <c r="A117" s="44" t="s">
        <v>79</v>
      </c>
      <c r="B117" s="4" t="s">
        <v>111</v>
      </c>
      <c r="C117" s="5" t="s">
        <v>114</v>
      </c>
      <c r="D117" s="143"/>
      <c r="E117" s="144">
        <f>6/6*84/84*450</f>
        <v>450</v>
      </c>
      <c r="F117" s="145"/>
      <c r="G117" s="144"/>
      <c r="H117" s="146">
        <f t="shared" si="12"/>
        <v>450</v>
      </c>
      <c r="I117" s="210">
        <f t="shared" si="13"/>
        <v>450</v>
      </c>
      <c r="J117" s="63">
        <f>4/4*0+12/12*59500</f>
        <v>59500</v>
      </c>
      <c r="K117" s="103" t="s">
        <v>177</v>
      </c>
      <c r="L117" s="79"/>
      <c r="M117" s="147"/>
      <c r="N117" s="150">
        <f>6/6*450</f>
        <v>450</v>
      </c>
      <c r="O117" s="150"/>
      <c r="P117" s="150"/>
      <c r="Q117" s="146">
        <f t="shared" si="14"/>
        <v>450</v>
      </c>
      <c r="R117" s="169">
        <f t="shared" si="15"/>
        <v>450</v>
      </c>
      <c r="S117" s="122">
        <f>11/11*450000</f>
        <v>450000</v>
      </c>
      <c r="T117" s="294">
        <f t="shared" si="16"/>
        <v>390500</v>
      </c>
      <c r="U117" s="214"/>
      <c r="V117" s="295">
        <f>T117+T116+T110+T109</f>
        <v>1878229.5</v>
      </c>
    </row>
    <row r="118" spans="1:22" ht="12.75">
      <c r="A118" s="44" t="s">
        <v>79</v>
      </c>
      <c r="B118" s="4" t="s">
        <v>115</v>
      </c>
      <c r="C118" s="5" t="s">
        <v>116</v>
      </c>
      <c r="D118" s="143"/>
      <c r="E118" s="144">
        <f>5/5*84/84*2000</f>
        <v>2000</v>
      </c>
      <c r="F118" s="145"/>
      <c r="G118" s="144"/>
      <c r="H118" s="146">
        <f t="shared" si="12"/>
        <v>2000</v>
      </c>
      <c r="I118" s="169">
        <f t="shared" si="13"/>
        <v>2000</v>
      </c>
      <c r="J118" s="63">
        <f>4/4*0+7/7*855700*0+12/12*2008856+13/13*-8856</f>
        <v>2000000</v>
      </c>
      <c r="K118" s="103" t="s">
        <v>177</v>
      </c>
      <c r="L118" s="79"/>
      <c r="M118" s="147"/>
      <c r="N118" s="144">
        <f>5/5*84/84*2000</f>
        <v>2000</v>
      </c>
      <c r="O118" s="144"/>
      <c r="P118" s="144"/>
      <c r="Q118" s="146">
        <f t="shared" si="14"/>
        <v>2000</v>
      </c>
      <c r="R118" s="169">
        <f t="shared" si="15"/>
        <v>2000</v>
      </c>
      <c r="S118" s="122">
        <f>6/6*2000000</f>
        <v>2000000</v>
      </c>
      <c r="T118" s="211">
        <f t="shared" si="16"/>
        <v>0</v>
      </c>
      <c r="U118" s="214"/>
      <c r="V118" s="215"/>
    </row>
    <row r="119" spans="1:22" ht="12.75">
      <c r="A119" s="44" t="s">
        <v>117</v>
      </c>
      <c r="B119" s="4" t="s">
        <v>118</v>
      </c>
      <c r="C119" s="5" t="s">
        <v>119</v>
      </c>
      <c r="D119" s="143"/>
      <c r="E119" s="160">
        <f>5/5*98031/98031*68.8+7/7*68.8+9/9*68.8+12/12*45.3</f>
        <v>251.7</v>
      </c>
      <c r="F119" s="145"/>
      <c r="G119" s="144"/>
      <c r="H119" s="146">
        <f t="shared" si="12"/>
        <v>251.7</v>
      </c>
      <c r="I119" s="169">
        <f t="shared" si="13"/>
        <v>251.7</v>
      </c>
      <c r="J119" s="63">
        <f>4/4*0+6/6*83790*0+7/7*97854*0+8/8*111492*0+9/9*125634*0+10/10*136908*0+(12/12*161335+13/13*90497.5)</f>
        <v>251832.5</v>
      </c>
      <c r="K119" s="103" t="s">
        <v>181</v>
      </c>
      <c r="L119" s="79"/>
      <c r="M119" s="147"/>
      <c r="N119" s="160">
        <f>5/5*98031/98031*68.8+7/7*68.8+9/9*68.8+12/12*45.3</f>
        <v>251.7</v>
      </c>
      <c r="O119" s="144"/>
      <c r="P119" s="144"/>
      <c r="Q119" s="146">
        <f t="shared" si="14"/>
        <v>251.7</v>
      </c>
      <c r="R119" s="169">
        <f t="shared" si="15"/>
        <v>251.7</v>
      </c>
      <c r="S119" s="128">
        <f>5/5*68800*0+6/6*137600+9/9*68800+12/12*45300</f>
        <v>251700</v>
      </c>
      <c r="T119" s="211">
        <f t="shared" si="16"/>
        <v>-132.5</v>
      </c>
      <c r="U119" s="214"/>
      <c r="V119" s="215"/>
    </row>
    <row r="120" spans="1:22" ht="12.75">
      <c r="A120" s="44" t="s">
        <v>91</v>
      </c>
      <c r="B120" s="4" t="s">
        <v>118</v>
      </c>
      <c r="C120" s="5" t="s">
        <v>120</v>
      </c>
      <c r="D120" s="143"/>
      <c r="E120" s="144">
        <f>5/5*81/81*160</f>
        <v>160</v>
      </c>
      <c r="F120" s="145"/>
      <c r="G120" s="144"/>
      <c r="H120" s="146">
        <f t="shared" si="12"/>
        <v>160</v>
      </c>
      <c r="I120" s="169">
        <f t="shared" si="13"/>
        <v>160</v>
      </c>
      <c r="J120" s="63">
        <f>4/4*0+6/6*17030*0+9/9*40840*0+10/10*57870</f>
        <v>57870</v>
      </c>
      <c r="K120" s="103" t="s">
        <v>177</v>
      </c>
      <c r="L120" s="79"/>
      <c r="M120" s="147"/>
      <c r="N120" s="144">
        <f>5/5*81/81*160</f>
        <v>160</v>
      </c>
      <c r="O120" s="144"/>
      <c r="P120" s="144"/>
      <c r="Q120" s="146">
        <f t="shared" si="14"/>
        <v>160</v>
      </c>
      <c r="R120" s="169">
        <f t="shared" si="15"/>
        <v>160</v>
      </c>
      <c r="S120" s="128">
        <f>5/5*160000</f>
        <v>160000</v>
      </c>
      <c r="T120" s="211">
        <f t="shared" si="16"/>
        <v>102130</v>
      </c>
      <c r="U120" s="214"/>
      <c r="V120" s="215"/>
    </row>
    <row r="121" spans="1:22" ht="12.75">
      <c r="A121" s="44" t="s">
        <v>91</v>
      </c>
      <c r="B121" s="4" t="s">
        <v>121</v>
      </c>
      <c r="C121" s="46" t="s">
        <v>122</v>
      </c>
      <c r="D121" s="143"/>
      <c r="E121" s="144">
        <f>6/6*81/81*100</f>
        <v>100</v>
      </c>
      <c r="F121" s="145"/>
      <c r="G121" s="144"/>
      <c r="H121" s="217">
        <f t="shared" si="12"/>
        <v>100</v>
      </c>
      <c r="I121" s="169">
        <f t="shared" si="13"/>
        <v>100</v>
      </c>
      <c r="J121" s="63">
        <f>6/6*((14/14)*0+(120*0+9/9*205*0+12/12*(1/1)*1640)+(18.3/18.3)*(0+12/12*7688)+(184*0+9/9*(2052+10/10*339)*0+12/12*(27/27)*15591.5)+50+(0+9/9*(250+10/10*500)*0+12/12*(0.5/0.5)*1850)+(0+12/12*(5.2/5.2)*0)+(0+10/10*682*0+12/12*(31/31)*17822)+(0+10/10*2940*0+12/12*((0)+3223))+(701.5*0+12/12*(3/3)*3191.5))-51056+13/13*(5/5*4375/4375*(11/11*14500+21/21*9000+36/36*1730+37/37*10280+39/39*16075.5+61/61*220+62/62*2150+67/67*100+69/69*18223+73/73*3402+75/75*3298.5-78979*0)+6171/6171*(11/11*6000+31/31*5639+32/32*1952-13591*0))</f>
        <v>92570</v>
      </c>
      <c r="K121" s="103" t="s">
        <v>177</v>
      </c>
      <c r="L121" s="79"/>
      <c r="M121" s="147"/>
      <c r="N121" s="144">
        <f>6/6*81/81*100</f>
        <v>100</v>
      </c>
      <c r="O121" s="144"/>
      <c r="P121" s="144"/>
      <c r="Q121" s="146">
        <f t="shared" si="14"/>
        <v>100</v>
      </c>
      <c r="R121" s="169">
        <f t="shared" si="15"/>
        <v>100</v>
      </c>
      <c r="S121" s="122">
        <f>6/6*100000</f>
        <v>100000</v>
      </c>
      <c r="T121" s="211">
        <f t="shared" si="16"/>
        <v>7430</v>
      </c>
      <c r="U121" s="214"/>
      <c r="V121" s="209">
        <f>T121+T120</f>
        <v>109560</v>
      </c>
    </row>
    <row r="122" spans="1:22" ht="12.75">
      <c r="A122" s="44" t="s">
        <v>123</v>
      </c>
      <c r="B122" s="4" t="s">
        <v>121</v>
      </c>
      <c r="C122" s="46" t="s">
        <v>122</v>
      </c>
      <c r="D122" s="143"/>
      <c r="E122" s="144">
        <f>6/6*98064/98064*49</f>
        <v>49</v>
      </c>
      <c r="F122" s="145"/>
      <c r="G122" s="144"/>
      <c r="H122" s="217">
        <f t="shared" si="12"/>
        <v>49</v>
      </c>
      <c r="I122" s="169">
        <f t="shared" si="13"/>
        <v>49</v>
      </c>
      <c r="J122" s="63">
        <f>6/6*0+10/10*49000</f>
        <v>49000</v>
      </c>
      <c r="K122" s="103" t="s">
        <v>181</v>
      </c>
      <c r="L122" s="79"/>
      <c r="M122" s="147"/>
      <c r="N122" s="144">
        <f>6/6*98064/98064*49</f>
        <v>49</v>
      </c>
      <c r="O122" s="144"/>
      <c r="P122" s="144"/>
      <c r="Q122" s="146">
        <f t="shared" si="14"/>
        <v>49</v>
      </c>
      <c r="R122" s="169">
        <f t="shared" si="15"/>
        <v>49</v>
      </c>
      <c r="S122" s="122">
        <f>6/6*49000</f>
        <v>49000</v>
      </c>
      <c r="T122" s="213">
        <f>S122-J122</f>
        <v>0</v>
      </c>
      <c r="U122" s="214"/>
      <c r="V122" s="215"/>
    </row>
    <row r="123" spans="1:22" ht="12.75">
      <c r="A123" s="44" t="s">
        <v>91</v>
      </c>
      <c r="B123" s="4" t="s">
        <v>124</v>
      </c>
      <c r="C123" s="46" t="s">
        <v>125</v>
      </c>
      <c r="D123" s="143"/>
      <c r="E123" s="144">
        <f>6/6*81/81*200</f>
        <v>200</v>
      </c>
      <c r="F123" s="145"/>
      <c r="G123" s="144"/>
      <c r="H123" s="217">
        <f>D123+E123</f>
        <v>200</v>
      </c>
      <c r="I123" s="169">
        <f t="shared" si="13"/>
        <v>200</v>
      </c>
      <c r="J123" s="63">
        <f>6/6*(11918+20208.5+150000-182126.5)+8/8*(18882+(23513.5*0+9/9*27513.5*0+10/10*28013.5*0+12/12*28613.5*0+13/13*31118)+150000)</f>
        <v>200000</v>
      </c>
      <c r="K123" s="103" t="s">
        <v>177</v>
      </c>
      <c r="L123" s="79"/>
      <c r="M123" s="147"/>
      <c r="N123" s="144">
        <f>6/6*81/81*200</f>
        <v>200</v>
      </c>
      <c r="O123" s="144"/>
      <c r="P123" s="144"/>
      <c r="Q123" s="146">
        <f t="shared" si="14"/>
        <v>200</v>
      </c>
      <c r="R123" s="169">
        <f t="shared" si="15"/>
        <v>200</v>
      </c>
      <c r="S123" s="122">
        <f>6/6*200000</f>
        <v>200000</v>
      </c>
      <c r="T123" s="211">
        <f t="shared" si="16"/>
        <v>0</v>
      </c>
      <c r="U123" s="214"/>
      <c r="V123" s="215"/>
    </row>
    <row r="124" spans="1:22" ht="12.75">
      <c r="A124" s="44" t="s">
        <v>126</v>
      </c>
      <c r="B124" s="4" t="s">
        <v>118</v>
      </c>
      <c r="C124" s="46" t="s">
        <v>201</v>
      </c>
      <c r="D124" s="143"/>
      <c r="E124" s="144">
        <f>7/7*1876.8</f>
        <v>1876.8</v>
      </c>
      <c r="F124" s="145"/>
      <c r="G124" s="144"/>
      <c r="H124" s="217">
        <f>D124+E124</f>
        <v>1876.8</v>
      </c>
      <c r="I124" s="169">
        <f t="shared" si="13"/>
        <v>1876.8</v>
      </c>
      <c r="J124" s="71">
        <f>6171/6171*5169/5169*1876838.23</f>
        <v>1876838.23</v>
      </c>
      <c r="K124" s="46" t="s">
        <v>127</v>
      </c>
      <c r="L124" s="79"/>
      <c r="M124" s="147"/>
      <c r="N124" s="144">
        <f>7/7*1876.8</f>
        <v>1876.8</v>
      </c>
      <c r="O124" s="144"/>
      <c r="P124" s="144"/>
      <c r="Q124" s="217">
        <f>M124+N124</f>
        <v>1876.8</v>
      </c>
      <c r="R124" s="169">
        <f t="shared" si="15"/>
        <v>1876.8</v>
      </c>
      <c r="S124" s="122">
        <f>8/8*1876838.23</f>
        <v>1876838.23</v>
      </c>
      <c r="T124" s="211">
        <f t="shared" si="16"/>
        <v>0</v>
      </c>
      <c r="U124" s="214"/>
      <c r="V124" s="215"/>
    </row>
    <row r="125" spans="1:22" s="224" customFormat="1" ht="12.75">
      <c r="A125" s="47" t="s">
        <v>128</v>
      </c>
      <c r="B125" s="48" t="s">
        <v>129</v>
      </c>
      <c r="C125" s="49" t="s">
        <v>130</v>
      </c>
      <c r="D125" s="218"/>
      <c r="E125" s="162">
        <f>12/12*31.8</f>
        <v>31.8</v>
      </c>
      <c r="F125" s="219"/>
      <c r="G125" s="219"/>
      <c r="H125" s="220">
        <f>D125+E125</f>
        <v>31.8</v>
      </c>
      <c r="I125" s="169">
        <f t="shared" si="13"/>
        <v>31.8</v>
      </c>
      <c r="J125" s="71">
        <f>12/12*31800</f>
        <v>31800</v>
      </c>
      <c r="K125" s="104" t="s">
        <v>177</v>
      </c>
      <c r="L125" s="105"/>
      <c r="M125" s="221"/>
      <c r="N125" s="162">
        <f>12/12*31.8</f>
        <v>31.8</v>
      </c>
      <c r="O125" s="162"/>
      <c r="P125" s="162"/>
      <c r="Q125" s="220">
        <f>M125+N125</f>
        <v>31.8</v>
      </c>
      <c r="R125" s="169">
        <f t="shared" si="15"/>
        <v>31.8</v>
      </c>
      <c r="S125" s="122">
        <f>12/12*31800</f>
        <v>31800</v>
      </c>
      <c r="T125" s="211">
        <f t="shared" si="16"/>
        <v>0</v>
      </c>
      <c r="U125" s="222"/>
      <c r="V125" s="223"/>
    </row>
    <row r="126" spans="1:22" s="224" customFormat="1" ht="12.75">
      <c r="A126" s="50" t="s">
        <v>131</v>
      </c>
      <c r="B126" s="51" t="s">
        <v>118</v>
      </c>
      <c r="C126" s="52" t="s">
        <v>132</v>
      </c>
      <c r="D126" s="225"/>
      <c r="E126" s="226">
        <f>12/12*50</f>
        <v>50</v>
      </c>
      <c r="F126" s="226"/>
      <c r="G126" s="226"/>
      <c r="H126" s="227">
        <f>D126+E126</f>
        <v>50</v>
      </c>
      <c r="I126" s="169">
        <f>H126+F126</f>
        <v>50</v>
      </c>
      <c r="J126" s="71">
        <f>12/12*49999</f>
        <v>49999</v>
      </c>
      <c r="K126" s="106" t="s">
        <v>177</v>
      </c>
      <c r="L126" s="107"/>
      <c r="M126" s="228"/>
      <c r="N126" s="160">
        <f>12/12*50</f>
        <v>50</v>
      </c>
      <c r="O126" s="160"/>
      <c r="P126" s="160"/>
      <c r="Q126" s="227">
        <f>M126+N126</f>
        <v>50</v>
      </c>
      <c r="R126" s="169">
        <f t="shared" si="15"/>
        <v>50</v>
      </c>
      <c r="S126" s="128">
        <f>12/12*50000</f>
        <v>50000</v>
      </c>
      <c r="T126" s="211">
        <f t="shared" si="16"/>
        <v>1</v>
      </c>
      <c r="U126" s="222"/>
      <c r="V126" s="223"/>
    </row>
    <row r="127" spans="1:22" s="224" customFormat="1" ht="12.75">
      <c r="A127" s="50" t="s">
        <v>133</v>
      </c>
      <c r="B127" s="51" t="s">
        <v>115</v>
      </c>
      <c r="C127" s="52" t="s">
        <v>134</v>
      </c>
      <c r="D127" s="225"/>
      <c r="E127" s="226">
        <f>12/12*3500</f>
        <v>3500</v>
      </c>
      <c r="F127" s="226"/>
      <c r="G127" s="226"/>
      <c r="H127" s="227">
        <f>D127+E127</f>
        <v>3500</v>
      </c>
      <c r="I127" s="169">
        <f t="shared" si="13"/>
        <v>3500</v>
      </c>
      <c r="J127" s="71">
        <f>12/12*3520809.46</f>
        <v>3520809.46</v>
      </c>
      <c r="K127" s="106" t="s">
        <v>177</v>
      </c>
      <c r="L127" s="107"/>
      <c r="M127" s="228"/>
      <c r="N127" s="160">
        <f>12/12*3500</f>
        <v>3500</v>
      </c>
      <c r="O127" s="160"/>
      <c r="P127" s="160"/>
      <c r="Q127" s="227">
        <f>M127+N127</f>
        <v>3500</v>
      </c>
      <c r="R127" s="169">
        <f t="shared" si="15"/>
        <v>3500</v>
      </c>
      <c r="S127" s="122">
        <f>12/12*3500000</f>
        <v>3500000</v>
      </c>
      <c r="T127" s="211">
        <f t="shared" si="16"/>
        <v>-20809.459999999963</v>
      </c>
      <c r="U127" s="222"/>
      <c r="V127" s="223"/>
    </row>
    <row r="128" spans="1:22" s="224" customFormat="1" ht="12.75">
      <c r="A128" s="50"/>
      <c r="B128" s="51"/>
      <c r="C128" s="52"/>
      <c r="D128" s="225"/>
      <c r="E128" s="226"/>
      <c r="F128" s="226"/>
      <c r="G128" s="226"/>
      <c r="H128" s="256"/>
      <c r="I128" s="285"/>
      <c r="J128" s="71"/>
      <c r="K128" s="106"/>
      <c r="L128" s="107"/>
      <c r="M128" s="228"/>
      <c r="N128" s="160"/>
      <c r="O128" s="160"/>
      <c r="P128" s="160"/>
      <c r="Q128" s="227"/>
      <c r="R128" s="285"/>
      <c r="S128" s="122"/>
      <c r="T128" s="211"/>
      <c r="U128" s="222"/>
      <c r="V128" s="223"/>
    </row>
    <row r="129" spans="1:22" s="224" customFormat="1" ht="12.75">
      <c r="A129" s="50"/>
      <c r="B129" s="51"/>
      <c r="C129" s="52"/>
      <c r="D129" s="225"/>
      <c r="E129" s="226"/>
      <c r="F129" s="226"/>
      <c r="G129" s="226"/>
      <c r="H129" s="256"/>
      <c r="I129" s="285"/>
      <c r="J129" s="71"/>
      <c r="K129" s="106"/>
      <c r="L129" s="107"/>
      <c r="M129" s="228"/>
      <c r="N129" s="160"/>
      <c r="O129" s="160"/>
      <c r="P129" s="160"/>
      <c r="Q129" s="227"/>
      <c r="R129" s="285"/>
      <c r="S129" s="122"/>
      <c r="T129" s="211"/>
      <c r="U129" s="222"/>
      <c r="V129" s="223"/>
    </row>
    <row r="130" spans="1:22" s="224" customFormat="1" ht="12.75">
      <c r="A130" s="50"/>
      <c r="B130" s="51"/>
      <c r="C130" s="52"/>
      <c r="D130" s="225"/>
      <c r="E130" s="226"/>
      <c r="F130" s="226"/>
      <c r="G130" s="226"/>
      <c r="H130" s="256"/>
      <c r="I130" s="285"/>
      <c r="J130" s="71"/>
      <c r="K130" s="106"/>
      <c r="L130" s="107"/>
      <c r="M130" s="228"/>
      <c r="N130" s="160"/>
      <c r="O130" s="160"/>
      <c r="P130" s="160"/>
      <c r="Q130" s="227"/>
      <c r="R130" s="285"/>
      <c r="S130" s="122"/>
      <c r="T130" s="211"/>
      <c r="U130" s="222"/>
      <c r="V130" s="223"/>
    </row>
    <row r="131" spans="1:22" s="224" customFormat="1" ht="12.75">
      <c r="A131" s="50"/>
      <c r="B131" s="51"/>
      <c r="C131" s="52"/>
      <c r="D131" s="225"/>
      <c r="E131" s="226"/>
      <c r="F131" s="226"/>
      <c r="G131" s="226"/>
      <c r="H131" s="256"/>
      <c r="I131" s="285"/>
      <c r="J131" s="71"/>
      <c r="K131" s="106"/>
      <c r="L131" s="107"/>
      <c r="M131" s="228"/>
      <c r="N131" s="160"/>
      <c r="O131" s="160"/>
      <c r="P131" s="160"/>
      <c r="Q131" s="227"/>
      <c r="R131" s="285"/>
      <c r="S131" s="122"/>
      <c r="T131" s="211"/>
      <c r="U131" s="222"/>
      <c r="V131" s="223"/>
    </row>
    <row r="132" spans="1:22" s="224" customFormat="1" ht="12.75">
      <c r="A132" s="50"/>
      <c r="B132" s="51"/>
      <c r="C132" s="52"/>
      <c r="D132" s="225"/>
      <c r="E132" s="226"/>
      <c r="F132" s="226"/>
      <c r="G132" s="226"/>
      <c r="H132" s="256"/>
      <c r="I132" s="285"/>
      <c r="J132" s="71"/>
      <c r="K132" s="106"/>
      <c r="L132" s="107"/>
      <c r="M132" s="228"/>
      <c r="N132" s="160"/>
      <c r="O132" s="160"/>
      <c r="P132" s="160"/>
      <c r="Q132" s="227"/>
      <c r="R132" s="285"/>
      <c r="S132" s="122"/>
      <c r="T132" s="211"/>
      <c r="U132" s="222"/>
      <c r="V132" s="223"/>
    </row>
    <row r="133" spans="1:22" s="224" customFormat="1" ht="12.75">
      <c r="A133" s="50"/>
      <c r="B133" s="51"/>
      <c r="C133" s="52"/>
      <c r="D133" s="225"/>
      <c r="E133" s="226"/>
      <c r="F133" s="226"/>
      <c r="G133" s="226"/>
      <c r="H133" s="256"/>
      <c r="I133" s="285"/>
      <c r="J133" s="71"/>
      <c r="K133" s="106"/>
      <c r="L133" s="107"/>
      <c r="M133" s="228"/>
      <c r="N133" s="160"/>
      <c r="O133" s="160"/>
      <c r="P133" s="160"/>
      <c r="Q133" s="227"/>
      <c r="R133" s="285"/>
      <c r="S133" s="122"/>
      <c r="T133" s="211"/>
      <c r="U133" s="222"/>
      <c r="V133" s="223"/>
    </row>
    <row r="134" spans="1:22" s="224" customFormat="1" ht="12.75">
      <c r="A134" s="50"/>
      <c r="B134" s="51"/>
      <c r="C134" s="52"/>
      <c r="D134" s="225"/>
      <c r="E134" s="226"/>
      <c r="F134" s="226"/>
      <c r="G134" s="226"/>
      <c r="H134" s="256"/>
      <c r="I134" s="285"/>
      <c r="J134" s="71"/>
      <c r="K134" s="106"/>
      <c r="L134" s="107"/>
      <c r="M134" s="228"/>
      <c r="N134" s="160"/>
      <c r="O134" s="160"/>
      <c r="P134" s="160"/>
      <c r="Q134" s="227"/>
      <c r="R134" s="285"/>
      <c r="S134" s="122"/>
      <c r="T134" s="211"/>
      <c r="U134" s="222"/>
      <c r="V134" s="223"/>
    </row>
    <row r="135" spans="1:22" s="224" customFormat="1" ht="13.5" thickBot="1">
      <c r="A135" s="50"/>
      <c r="B135" s="51"/>
      <c r="C135" s="52"/>
      <c r="D135" s="225"/>
      <c r="E135" s="226"/>
      <c r="F135" s="226"/>
      <c r="G135" s="226"/>
      <c r="H135" s="256"/>
      <c r="I135" s="286"/>
      <c r="J135" s="287"/>
      <c r="K135" s="288"/>
      <c r="L135" s="289"/>
      <c r="M135" s="290"/>
      <c r="N135" s="291"/>
      <c r="O135" s="291"/>
      <c r="P135" s="291"/>
      <c r="Q135" s="292"/>
      <c r="R135" s="286"/>
      <c r="S135" s="293"/>
      <c r="T135" s="211"/>
      <c r="U135" s="222"/>
      <c r="V135" s="223"/>
    </row>
    <row r="136" spans="1:22" ht="14.25" thickBot="1" thickTop="1">
      <c r="A136" s="53" t="s">
        <v>135</v>
      </c>
      <c r="B136" s="54"/>
      <c r="C136" s="55"/>
      <c r="D136" s="229">
        <f>SUM(D94:D135)</f>
        <v>0</v>
      </c>
      <c r="E136" s="229">
        <f>SUM(E94:E135)</f>
        <v>50623.200000000004</v>
      </c>
      <c r="F136" s="230">
        <f>SUM(F94:F135)</f>
        <v>0</v>
      </c>
      <c r="G136" s="229"/>
      <c r="H136" s="231">
        <f>SUM(H94:H135)</f>
        <v>50623.200000000004</v>
      </c>
      <c r="I136" s="232">
        <f>SUM(I94:I135)</f>
        <v>50623.200000000004</v>
      </c>
      <c r="J136" s="72">
        <f>SUM(J94:J135)</f>
        <v>47504945.73</v>
      </c>
      <c r="K136" s="108"/>
      <c r="L136" s="109" t="s">
        <v>182</v>
      </c>
      <c r="M136" s="229">
        <f>SUM(M94:M135)</f>
        <v>0</v>
      </c>
      <c r="N136" s="229">
        <f>SUM(N94:N135)</f>
        <v>49905.3</v>
      </c>
      <c r="O136" s="229"/>
      <c r="P136" s="230">
        <f aca="true" t="shared" si="17" ref="P136:U136">SUM(P94:P135)</f>
        <v>0</v>
      </c>
      <c r="Q136" s="231">
        <f t="shared" si="17"/>
        <v>49905.3</v>
      </c>
      <c r="R136" s="232">
        <f t="shared" si="17"/>
        <v>49905.3</v>
      </c>
      <c r="S136" s="129">
        <f t="shared" si="17"/>
        <v>49905275.23</v>
      </c>
      <c r="T136" s="234">
        <f t="shared" si="17"/>
        <v>3118262.35</v>
      </c>
      <c r="U136" s="236">
        <f t="shared" si="17"/>
        <v>0</v>
      </c>
      <c r="V136" s="296">
        <f>SUM(V94:V135)</f>
        <v>2490443.65</v>
      </c>
    </row>
    <row r="137" spans="1:22" ht="14.25" thickBot="1" thickTop="1">
      <c r="A137" s="56" t="s">
        <v>136</v>
      </c>
      <c r="B137" s="57"/>
      <c r="C137" s="58"/>
      <c r="D137" s="229">
        <f>D89+D136</f>
        <v>64406</v>
      </c>
      <c r="E137" s="229">
        <f>E89+E136</f>
        <v>48552.200000000004</v>
      </c>
      <c r="F137" s="230">
        <f>F89+F136</f>
        <v>-1029.9999999999977</v>
      </c>
      <c r="G137" s="229"/>
      <c r="H137" s="229">
        <f>H89+H136</f>
        <v>112958.20000000001</v>
      </c>
      <c r="I137" s="230">
        <f>I89+I136</f>
        <v>111928.20000000001</v>
      </c>
      <c r="J137" s="72">
        <f>J89+J136</f>
        <v>107218625.20999998</v>
      </c>
      <c r="K137" s="108"/>
      <c r="L137" s="109" t="s">
        <v>183</v>
      </c>
      <c r="M137" s="229">
        <f>M89+M136</f>
        <v>64406</v>
      </c>
      <c r="N137" s="229">
        <f>N89+N136</f>
        <v>47834.3</v>
      </c>
      <c r="O137" s="229"/>
      <c r="P137" s="230">
        <f>P89+P136</f>
        <v>-1224.1999999999998</v>
      </c>
      <c r="Q137" s="231">
        <f>Q89+Q136</f>
        <v>112240.3</v>
      </c>
      <c r="R137" s="237">
        <f>R89+R136</f>
        <v>111016.1</v>
      </c>
      <c r="S137" s="272">
        <f>S89+S136</f>
        <v>109767795.07</v>
      </c>
      <c r="T137" s="249">
        <f>S136-J136-T136</f>
        <v>-717932.8500000001</v>
      </c>
      <c r="U137" s="238"/>
      <c r="V137" s="239" t="s">
        <v>39</v>
      </c>
    </row>
    <row r="138" spans="1:21" ht="14.25" thickBot="1" thickTop="1">
      <c r="A138" s="59"/>
      <c r="B138" s="59"/>
      <c r="C138" s="60"/>
      <c r="D138" s="88">
        <f>64406-D137</f>
        <v>0</v>
      </c>
      <c r="E138" s="241">
        <f>40933.2*0+6/6*44687.2+7/7*(68.8+340+1876.8-1876.8)+8/8*1500+9/9*(4570+68.8)+10/10*(128+340)+11/11*(-5343.5-1000)+12/12*(300+31.8+45.3+1160+3500-1700+50)-E137</f>
        <v>194.1999999999971</v>
      </c>
      <c r="F138" s="195"/>
      <c r="G138" s="60"/>
      <c r="H138" s="38">
        <f>(106379.6*0+6/6*109093.2*0-16/16*1040.4*0+7/7*109502*0+8/8*111002*0+9/9*115640.8*0+10/10*116108.8+11/11*(-5343.5-1000)+12/12*(300+31.8+45.3+1160+3500-1700+50))-H137</f>
        <v>194.1999999999971</v>
      </c>
      <c r="I138" s="242">
        <f>111928.2-I137</f>
        <v>0</v>
      </c>
      <c r="J138" s="73">
        <f>37244157.52*0+6/6*44169456.62*0+7/7*53190292.66*0+8/8*(62264165.69*0+61822209.69*0+9/9*71619427.31*0+10/10*77771601.92*0+12/12*107218625.21*13/13+107/107*(441956*0+12/12*849955)*0)-J137</f>
        <v>0</v>
      </c>
      <c r="K138" s="60"/>
      <c r="L138" s="60"/>
      <c r="M138" s="88">
        <f>64406-M137</f>
        <v>0</v>
      </c>
      <c r="N138" s="241">
        <f>40933.2*0+6/6*44687.2+7/7*(68.8+340+1876.8*0)+8/8*1500+9/9*(4570+68.8-1704.4)+10/10*(5/5*128+9/9*340+10/10*1510.2)+11/11*(-5343.5-1000)-N137</f>
        <v>-2669.2000000000044</v>
      </c>
      <c r="O138" s="60"/>
      <c r="P138" s="60"/>
      <c r="Q138" s="38">
        <f>(106277*0+6/6*108375.3*0+7/7*108784.1*0+8/8*110284.1*0+9/9*(113218.5*0+10/10*(115196.7*0+116108.8)+1704.4*0+11/11*(-5343.5-1000))-16/16*1655.7*0+1040.4*0)-Q137-N138*0</f>
        <v>-2475</v>
      </c>
      <c r="R138" s="242">
        <f>111016.1-R137</f>
        <v>0</v>
      </c>
      <c r="S138" s="73">
        <f>39702004.98*0+6/6*49695430.61*0+7/7*61852324.86*0+8/8*73851081.59*0+9/9*79805119.87*0+10/10*88593895.26*0+12/12*109767795.07-S137</f>
        <v>0</v>
      </c>
      <c r="T138" s="240"/>
      <c r="U138" s="240"/>
    </row>
    <row r="139" spans="1:22" ht="14.25" thickBot="1" thickTop="1">
      <c r="A139" s="59"/>
      <c r="B139" s="59"/>
      <c r="C139" s="60"/>
      <c r="D139" s="88"/>
      <c r="E139" s="241"/>
      <c r="F139" s="195"/>
      <c r="G139" s="60"/>
      <c r="H139" s="38"/>
      <c r="J139" s="73"/>
      <c r="K139" s="60"/>
      <c r="L139" s="60"/>
      <c r="M139" s="88"/>
      <c r="N139" s="241"/>
      <c r="O139" s="60"/>
      <c r="P139" s="60"/>
      <c r="Q139" s="38"/>
      <c r="R139" s="244"/>
      <c r="S139" s="73"/>
      <c r="T139" s="240"/>
      <c r="U139" s="240"/>
      <c r="V139" s="296">
        <f>SUM(V105:V121)+T137</f>
        <v>2490443.65</v>
      </c>
    </row>
    <row r="140" spans="1:21" ht="13.5" thickTop="1">
      <c r="A140" s="59"/>
      <c r="B140" s="59"/>
      <c r="C140" s="60"/>
      <c r="J140" s="73"/>
      <c r="K140" s="110"/>
      <c r="L140" s="111"/>
      <c r="M140" s="243"/>
      <c r="N140" s="243"/>
      <c r="O140" s="243"/>
      <c r="P140" s="243"/>
      <c r="Q140" s="243">
        <f>Q138-P137</f>
        <v>-1250.8000000000002</v>
      </c>
      <c r="R140" s="244"/>
      <c r="S140" s="110"/>
      <c r="T140" s="245">
        <f>(0*25%-0)+(0*50%-0)</f>
        <v>0</v>
      </c>
      <c r="U140" s="245"/>
    </row>
    <row r="141" spans="1:21" ht="13.5" thickBot="1">
      <c r="A141" s="60"/>
      <c r="B141" s="60"/>
      <c r="C141" s="60"/>
      <c r="E141" s="60"/>
      <c r="F141" s="195"/>
      <c r="G141" s="60"/>
      <c r="H141" s="73">
        <f>111928.2-H137</f>
        <v>-1030.0000000000146</v>
      </c>
      <c r="I141" s="195"/>
      <c r="J141" s="73"/>
      <c r="K141" s="110"/>
      <c r="L141" s="111"/>
      <c r="M141" s="243"/>
      <c r="N141" s="243"/>
      <c r="O141" s="243"/>
      <c r="P141" s="243"/>
      <c r="Q141" s="243"/>
      <c r="R141" s="244"/>
      <c r="S141" s="110"/>
      <c r="T141" s="246" t="s">
        <v>194</v>
      </c>
      <c r="U141" s="246" t="s">
        <v>195</v>
      </c>
    </row>
    <row r="142" spans="1:21" ht="14.25" thickBot="1" thickTop="1">
      <c r="A142" s="60"/>
      <c r="B142" s="60"/>
      <c r="C142" s="60"/>
      <c r="D142" s="60"/>
      <c r="E142" s="60"/>
      <c r="F142" s="195"/>
      <c r="G142" s="60"/>
      <c r="H142" s="60"/>
      <c r="I142" s="195"/>
      <c r="J142" s="60"/>
      <c r="K142" s="112"/>
      <c r="L142" s="113" t="s">
        <v>184</v>
      </c>
      <c r="M142" s="247">
        <f>M136-D136</f>
        <v>0</v>
      </c>
      <c r="N142" s="247">
        <f>N136-E136</f>
        <v>-717.9000000000015</v>
      </c>
      <c r="O142" s="235"/>
      <c r="P142" s="233">
        <f aca="true" t="shared" si="18" ref="P142:S143">P136-G136</f>
        <v>0</v>
      </c>
      <c r="Q142" s="236">
        <f t="shared" si="18"/>
        <v>-717.9000000000015</v>
      </c>
      <c r="R142" s="247">
        <f t="shared" si="18"/>
        <v>-717.9000000000015</v>
      </c>
      <c r="S142" s="131">
        <f t="shared" si="18"/>
        <v>2400329.5</v>
      </c>
      <c r="T142" s="245">
        <f>SUM(T136:T140)</f>
        <v>2400329.5</v>
      </c>
      <c r="U142" s="245">
        <f>T142-U136-U140</f>
        <v>2400329.5</v>
      </c>
    </row>
    <row r="143" spans="1:21" ht="14.25" thickBot="1" thickTop="1">
      <c r="A143" s="60"/>
      <c r="B143" s="60"/>
      <c r="C143" s="60"/>
      <c r="D143" s="60"/>
      <c r="E143" s="60"/>
      <c r="F143" s="195"/>
      <c r="G143" s="60"/>
      <c r="H143" s="38" t="s">
        <v>196</v>
      </c>
      <c r="I143" s="195"/>
      <c r="J143" s="60"/>
      <c r="K143" s="112"/>
      <c r="L143" s="113" t="s">
        <v>185</v>
      </c>
      <c r="M143" s="247">
        <f>M137-D137</f>
        <v>0</v>
      </c>
      <c r="N143" s="247">
        <f>N137-E137</f>
        <v>-717.9000000000015</v>
      </c>
      <c r="O143" s="235"/>
      <c r="P143" s="233">
        <f t="shared" si="18"/>
        <v>-1224.1999999999998</v>
      </c>
      <c r="Q143" s="236">
        <f t="shared" si="18"/>
        <v>-717.9000000000087</v>
      </c>
      <c r="R143" s="247">
        <f t="shared" si="18"/>
        <v>-912.1000000000058</v>
      </c>
      <c r="S143" s="130">
        <f t="shared" si="18"/>
        <v>2549169.8600000143</v>
      </c>
      <c r="T143" s="248" t="s">
        <v>197</v>
      </c>
      <c r="U143" s="248" t="s">
        <v>197</v>
      </c>
    </row>
    <row r="144" spans="1:21" ht="14.25" thickBot="1" thickTop="1">
      <c r="A144" s="60"/>
      <c r="B144" s="60"/>
      <c r="C144" s="60"/>
      <c r="D144" s="60"/>
      <c r="E144" s="60"/>
      <c r="F144" s="195"/>
      <c r="G144" s="60"/>
      <c r="H144" s="60"/>
      <c r="I144" s="195"/>
      <c r="J144" s="60"/>
      <c r="K144" s="261" t="s">
        <v>205</v>
      </c>
      <c r="L144" s="265"/>
      <c r="M144" s="267"/>
      <c r="N144" s="262"/>
      <c r="O144" s="262"/>
      <c r="P144" s="262"/>
      <c r="Q144" s="263"/>
      <c r="R144" s="264"/>
      <c r="S144" s="268">
        <f>12028871.9*0+9/9*(8455336.42*0+8627648.56)*0+10/10*10822293.34*0+13/13*3399124.86-849955*0-S143</f>
        <v>849954.9999999856</v>
      </c>
      <c r="T144" s="266"/>
      <c r="U144" s="60"/>
    </row>
    <row r="145" spans="1:21" ht="13.5" thickTop="1">
      <c r="A145" s="60"/>
      <c r="B145" s="60"/>
      <c r="C145" s="60"/>
      <c r="D145" s="60"/>
      <c r="E145" s="60"/>
      <c r="F145" s="195"/>
      <c r="G145" s="60"/>
      <c r="H145" s="60"/>
      <c r="I145" s="195"/>
      <c r="J145" s="60"/>
      <c r="K145" s="60"/>
      <c r="L145" s="60"/>
      <c r="M145" s="60"/>
      <c r="Q145" s="260" t="s">
        <v>198</v>
      </c>
      <c r="R145"/>
      <c r="S145"/>
      <c r="T145" s="60"/>
      <c r="U145" s="60"/>
    </row>
    <row r="146" spans="20:21" ht="12.75">
      <c r="T146" s="60"/>
      <c r="U146" s="60"/>
    </row>
  </sheetData>
  <mergeCells count="6">
    <mergeCell ref="K5:L5"/>
    <mergeCell ref="K7:L7"/>
    <mergeCell ref="A2:C3"/>
    <mergeCell ref="L2:L3"/>
    <mergeCell ref="M2:S2"/>
    <mergeCell ref="D2:J2"/>
  </mergeCells>
  <printOptions/>
  <pageMargins left="0.5905511811023623" right="0" top="0.3937007874015748" bottom="0.5905511811023623" header="0.11811023622047245" footer="0.11811023622047245"/>
  <pageSetup horizontalDpi="360" verticalDpi="360" orientation="portrait" paperSize="9" scale="67" r:id="rId3"/>
  <headerFooter alignWithMargins="0">
    <oddFooter>&amp;L&amp;F&amp;R&amp;P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MCPraha16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cernajan</cp:lastModifiedBy>
  <cp:lastPrinted>2008-03-17T13:57:44Z</cp:lastPrinted>
  <dcterms:created xsi:type="dcterms:W3CDTF">2008-01-28T22:55:25Z</dcterms:created>
  <dcterms:modified xsi:type="dcterms:W3CDTF">2008-03-17T13:57:45Z</dcterms:modified>
  <cp:category/>
  <cp:version/>
  <cp:contentType/>
  <cp:contentStatus/>
</cp:coreProperties>
</file>