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0" windowWidth="18315" windowHeight="843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'List1'!$A:$A,'List1'!$1:$2</definedName>
  </definedNames>
  <calcPr fullCalcOnLoad="1"/>
</workbook>
</file>

<file path=xl/sharedStrings.xml><?xml version="1.0" encoding="utf-8"?>
<sst xmlns="http://schemas.openxmlformats.org/spreadsheetml/2006/main" count="72" uniqueCount="65">
  <si>
    <t>3421 dětská hřiště</t>
  </si>
  <si>
    <t>3111 mat.škola</t>
  </si>
  <si>
    <t>3113 zákl.škola</t>
  </si>
  <si>
    <t>3141 škol.jídelna</t>
  </si>
  <si>
    <t>3231 zákl.uměl.</t>
  </si>
  <si>
    <t>4351/1,2 domy s peč.sl</t>
  </si>
  <si>
    <t>4351/4 přísp.stravné</t>
  </si>
  <si>
    <t>4351 peč.služba</t>
  </si>
  <si>
    <t>4319 soc. péče</t>
  </si>
  <si>
    <t>4329 péče o mládež</t>
  </si>
  <si>
    <t>4359 ost.soc</t>
  </si>
  <si>
    <t>4379 péče o seniory</t>
  </si>
  <si>
    <t>06                       KULTURA  A  SPORT</t>
  </si>
  <si>
    <t>05                                SOC. A  ZDRAV.</t>
  </si>
  <si>
    <t>04                                Š K O L S T V Í</t>
  </si>
  <si>
    <t>03                             D O P R A V A</t>
  </si>
  <si>
    <r>
      <t>2310</t>
    </r>
    <r>
      <rPr>
        <sz val="8"/>
        <rFont val="Arial"/>
        <family val="2"/>
      </rPr>
      <t xml:space="preserve"> voda </t>
    </r>
    <r>
      <rPr>
        <sz val="9"/>
        <rFont val="Arial"/>
        <family val="0"/>
      </rPr>
      <t>2321</t>
    </r>
    <r>
      <rPr>
        <sz val="8"/>
        <rFont val="Arial"/>
        <family val="2"/>
      </rPr>
      <t xml:space="preserve"> odp. voda </t>
    </r>
    <r>
      <rPr>
        <sz val="9"/>
        <rFont val="Arial"/>
        <family val="0"/>
      </rPr>
      <t>3722</t>
    </r>
    <r>
      <rPr>
        <sz val="8"/>
        <rFont val="Arial"/>
        <family val="2"/>
      </rPr>
      <t xml:space="preserve"> odpady</t>
    </r>
  </si>
  <si>
    <t>3313 kino</t>
  </si>
  <si>
    <t>3314 knihovna</t>
  </si>
  <si>
    <t>3319 kult.střed</t>
  </si>
  <si>
    <t>3319 kronika,letopis</t>
  </si>
  <si>
    <t>3319 kult.akce</t>
  </si>
  <si>
    <t>3412 sport.hala</t>
  </si>
  <si>
    <t>07                                  B E Z P E Č N O S T</t>
  </si>
  <si>
    <t>5512 dobrov.hasiči</t>
  </si>
  <si>
    <t>08      HOSPODÁŘSTVÍ</t>
  </si>
  <si>
    <t>3612 bytové hosp.</t>
  </si>
  <si>
    <t>3639,3632 techn.sl</t>
  </si>
  <si>
    <t>09                                     VNITŘNÍ  SPRÁVA</t>
  </si>
  <si>
    <t>6112 ZMČ</t>
  </si>
  <si>
    <t>6171 úřad provoz</t>
  </si>
  <si>
    <t>6171 objekty 21,23,732</t>
  </si>
  <si>
    <t>investiční akce</t>
  </si>
  <si>
    <t>kulturní akce</t>
  </si>
  <si>
    <t>různé organizační</t>
  </si>
  <si>
    <t>10                              FINANCOVÁNÍ</t>
  </si>
  <si>
    <t>MČ CELKEM</t>
  </si>
  <si>
    <t>V Ý D A J E</t>
  </si>
  <si>
    <t>P Ř Í J M Y</t>
  </si>
  <si>
    <t>2460 splátky půjček SFZ</t>
  </si>
  <si>
    <t>2141 úroky</t>
  </si>
  <si>
    <t>2210 sankce</t>
  </si>
  <si>
    <t>2343 dobýv.prostor</t>
  </si>
  <si>
    <r>
      <t>dary</t>
    </r>
    <r>
      <rPr>
        <sz val="7"/>
        <rFont val="Arial"/>
        <family val="2"/>
      </rPr>
      <t xml:space="preserve"> 2321 neinv 3121 inv 4129 SO</t>
    </r>
  </si>
  <si>
    <t>4131 z účtu ekon.činnosti</t>
  </si>
  <si>
    <t>4121 HMP dotace</t>
  </si>
  <si>
    <t>1511 daň z nemovitostí</t>
  </si>
  <si>
    <t>1361 správní poplatky</t>
  </si>
  <si>
    <t>1341-5,7,51 místní poplatky</t>
  </si>
  <si>
    <t>dotace stát:</t>
  </si>
  <si>
    <t>R 2010</t>
  </si>
  <si>
    <t>Návrh UR 2010</t>
  </si>
  <si>
    <t>Návrh rozpočtu 2011</t>
  </si>
  <si>
    <t>3636 územní rozvoj</t>
  </si>
  <si>
    <t>3745 veřejná zeleň</t>
  </si>
  <si>
    <t>3639 komun.služby</t>
  </si>
  <si>
    <t>2219 ost.zál.komun</t>
  </si>
  <si>
    <t>2212 silnice</t>
  </si>
  <si>
    <t>3539 digit.rentgen</t>
  </si>
  <si>
    <t>FV 2009</t>
  </si>
  <si>
    <r>
      <t xml:space="preserve">2329 nahod </t>
    </r>
    <r>
      <rPr>
        <sz val="7"/>
        <rFont val="Arial"/>
        <family val="2"/>
      </rPr>
      <t>(z r. 2009), 2322 poj.pln</t>
    </r>
  </si>
  <si>
    <r>
      <t>4121 výnos DPPO za 200</t>
    </r>
    <r>
      <rPr>
        <sz val="8"/>
        <rFont val="Arial"/>
        <family val="2"/>
      </rPr>
      <t>9</t>
    </r>
  </si>
  <si>
    <t>01                             ÚZEMNÍ  ROZVOJ</t>
  </si>
  <si>
    <t>02                             INFRASTRUKTURA</t>
  </si>
  <si>
    <t>skut 12/2010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</si>
</sst>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13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i/>
      <sz val="8"/>
      <name val="Arial CE"/>
      <family val="2"/>
    </font>
    <font>
      <sz val="10"/>
      <name val="Arial CE"/>
      <family val="0"/>
    </font>
    <font>
      <sz val="8"/>
      <name val="Arial CE"/>
      <family val="0"/>
    </font>
    <font>
      <sz val="10"/>
      <color indexed="57"/>
      <name val="Arial CE"/>
      <family val="0"/>
    </font>
    <font>
      <sz val="9"/>
      <color indexed="57"/>
      <name val="Arial"/>
      <family val="0"/>
    </font>
    <font>
      <sz val="8"/>
      <color indexed="10"/>
      <name val="Arial"/>
      <family val="0"/>
    </font>
    <font>
      <sz val="10"/>
      <color indexed="5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 style="thick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1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/>
    </xf>
    <xf numFmtId="0" fontId="1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wrapText="1"/>
    </xf>
    <xf numFmtId="164" fontId="0" fillId="0" borderId="4" xfId="0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164" fontId="0" fillId="0" borderId="5" xfId="0" applyNumberFormat="1" applyFont="1" applyFill="1" applyBorder="1" applyAlignment="1">
      <alignment/>
    </xf>
    <xf numFmtId="3" fontId="3" fillId="0" borderId="4" xfId="0" applyNumberFormat="1" applyFont="1" applyFill="1" applyBorder="1" applyAlignment="1">
      <alignment/>
    </xf>
    <xf numFmtId="164" fontId="7" fillId="0" borderId="5" xfId="0" applyNumberFormat="1" applyFont="1" applyFill="1" applyBorder="1" applyAlignment="1">
      <alignment/>
    </xf>
    <xf numFmtId="3" fontId="8" fillId="0" borderId="4" xfId="0" applyNumberFormat="1" applyFont="1" applyFill="1" applyBorder="1" applyAlignment="1">
      <alignment/>
    </xf>
    <xf numFmtId="164" fontId="0" fillId="0" borderId="4" xfId="0" applyNumberFormat="1" applyFont="1" applyFill="1" applyBorder="1" applyAlignment="1">
      <alignment/>
    </xf>
    <xf numFmtId="164" fontId="0" fillId="0" borderId="5" xfId="0" applyNumberFormat="1" applyFont="1" applyFill="1" applyBorder="1" applyAlignment="1">
      <alignment/>
    </xf>
    <xf numFmtId="3" fontId="8" fillId="0" borderId="4" xfId="0" applyNumberFormat="1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164" fontId="6" fillId="0" borderId="4" xfId="0" applyNumberFormat="1" applyFont="1" applyFill="1" applyBorder="1" applyAlignment="1">
      <alignment wrapText="1"/>
    </xf>
    <xf numFmtId="164" fontId="0" fillId="0" borderId="4" xfId="0" applyNumberFormat="1" applyFont="1" applyFill="1" applyBorder="1" applyAlignment="1">
      <alignment/>
    </xf>
    <xf numFmtId="164" fontId="0" fillId="0" borderId="5" xfId="0" applyNumberFormat="1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2" fillId="2" borderId="3" xfId="0" applyFont="1" applyFill="1" applyBorder="1" applyAlignment="1">
      <alignment wrapText="1"/>
    </xf>
    <xf numFmtId="164" fontId="4" fillId="2" borderId="4" xfId="0" applyNumberFormat="1" applyFont="1" applyFill="1" applyBorder="1" applyAlignment="1">
      <alignment/>
    </xf>
    <xf numFmtId="164" fontId="4" fillId="2" borderId="5" xfId="0" applyNumberFormat="1" applyFont="1" applyFill="1" applyBorder="1" applyAlignment="1">
      <alignment/>
    </xf>
    <xf numFmtId="0" fontId="2" fillId="3" borderId="7" xfId="0" applyFont="1" applyFill="1" applyBorder="1" applyAlignment="1">
      <alignment wrapText="1"/>
    </xf>
    <xf numFmtId="164" fontId="4" fillId="3" borderId="6" xfId="0" applyNumberFormat="1" applyFont="1" applyFill="1" applyBorder="1" applyAlignment="1">
      <alignment/>
    </xf>
    <xf numFmtId="164" fontId="4" fillId="3" borderId="8" xfId="0" applyNumberFormat="1" applyFont="1" applyFill="1" applyBorder="1" applyAlignment="1">
      <alignment/>
    </xf>
    <xf numFmtId="3" fontId="3" fillId="0" borderId="4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 wrapText="1"/>
    </xf>
    <xf numFmtId="164" fontId="1" fillId="0" borderId="5" xfId="0" applyNumberFormat="1" applyFont="1" applyFill="1" applyBorder="1" applyAlignment="1">
      <alignment horizontal="center" wrapText="1"/>
    </xf>
    <xf numFmtId="164" fontId="7" fillId="0" borderId="4" xfId="0" applyNumberFormat="1" applyFont="1" applyFill="1" applyBorder="1" applyAlignment="1">
      <alignment/>
    </xf>
    <xf numFmtId="164" fontId="0" fillId="0" borderId="9" xfId="0" applyNumberFormat="1" applyFont="1" applyFill="1" applyBorder="1" applyAlignment="1">
      <alignment/>
    </xf>
    <xf numFmtId="164" fontId="0" fillId="0" borderId="4" xfId="0" applyNumberFormat="1" applyFont="1" applyFill="1" applyBorder="1" applyAlignment="1">
      <alignment/>
    </xf>
    <xf numFmtId="164" fontId="7" fillId="0" borderId="4" xfId="0" applyNumberFormat="1" applyFont="1" applyFill="1" applyBorder="1" applyAlignment="1">
      <alignment wrapText="1"/>
    </xf>
    <xf numFmtId="164" fontId="0" fillId="0" borderId="9" xfId="0" applyNumberFormat="1" applyFont="1" applyFill="1" applyBorder="1" applyAlignment="1">
      <alignment/>
    </xf>
    <xf numFmtId="164" fontId="7" fillId="0" borderId="5" xfId="0" applyNumberFormat="1" applyFont="1" applyFill="1" applyBorder="1" applyAlignment="1">
      <alignment wrapText="1"/>
    </xf>
    <xf numFmtId="164" fontId="7" fillId="0" borderId="4" xfId="0" applyNumberFormat="1" applyFont="1" applyFill="1" applyBorder="1" applyAlignment="1">
      <alignment wrapText="1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9" fillId="0" borderId="5" xfId="0" applyNumberFormat="1" applyFont="1" applyFill="1" applyBorder="1" applyAlignment="1">
      <alignment/>
    </xf>
    <xf numFmtId="164" fontId="10" fillId="0" borderId="4" xfId="0" applyNumberFormat="1" applyFont="1" applyFill="1" applyBorder="1" applyAlignment="1">
      <alignment horizontal="center" wrapText="1"/>
    </xf>
    <xf numFmtId="164" fontId="9" fillId="0" borderId="4" xfId="0" applyNumberFormat="1" applyFont="1" applyFill="1" applyBorder="1" applyAlignment="1">
      <alignment wrapText="1"/>
    </xf>
    <xf numFmtId="164" fontId="12" fillId="0" borderId="4" xfId="0" applyNumberFormat="1" applyFont="1" applyFill="1" applyBorder="1" applyAlignment="1">
      <alignment/>
    </xf>
    <xf numFmtId="164" fontId="11" fillId="0" borderId="4" xfId="0" applyNumberFormat="1" applyFont="1" applyFill="1" applyBorder="1" applyAlignment="1">
      <alignment/>
    </xf>
    <xf numFmtId="164" fontId="12" fillId="0" borderId="4" xfId="0" applyNumberFormat="1" applyFont="1" applyFill="1" applyBorder="1" applyAlignment="1">
      <alignment/>
    </xf>
    <xf numFmtId="164" fontId="9" fillId="0" borderId="4" xfId="0" applyNumberFormat="1" applyFont="1" applyFill="1" applyBorder="1" applyAlignment="1">
      <alignment/>
    </xf>
    <xf numFmtId="164" fontId="0" fillId="0" borderId="5" xfId="0" applyNumberFormat="1" applyFont="1" applyFill="1" applyBorder="1" applyAlignment="1">
      <alignment/>
    </xf>
    <xf numFmtId="164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85" zoomScaleNormal="8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3" sqref="A3"/>
    </sheetView>
  </sheetViews>
  <sheetFormatPr defaultColWidth="9.140625" defaultRowHeight="12.75"/>
  <cols>
    <col min="1" max="1" width="17.7109375" style="2" customWidth="1"/>
    <col min="2" max="2" width="8.140625" style="40" customWidth="1"/>
    <col min="3" max="3" width="9.28125" style="40" bestFit="1" customWidth="1"/>
    <col min="4" max="4" width="9.28125" style="40" customWidth="1"/>
    <col min="5" max="5" width="9.28125" style="4" customWidth="1"/>
    <col min="6" max="6" width="20.421875" style="3" customWidth="1"/>
    <col min="7" max="7" width="9.28125" style="40" customWidth="1"/>
    <col min="8" max="8" width="9.140625" style="40" customWidth="1"/>
    <col min="9" max="9" width="9.7109375" style="4" customWidth="1"/>
    <col min="10" max="10" width="8.8515625" style="4" customWidth="1"/>
    <col min="11" max="16384" width="9.140625" style="41" customWidth="1"/>
  </cols>
  <sheetData>
    <row r="1" spans="1:10" ht="13.5" thickTop="1">
      <c r="A1" s="5"/>
      <c r="B1" s="53" t="s">
        <v>37</v>
      </c>
      <c r="C1" s="54"/>
      <c r="D1" s="54"/>
      <c r="E1" s="54"/>
      <c r="F1" s="6"/>
      <c r="G1" s="53" t="s">
        <v>38</v>
      </c>
      <c r="H1" s="53"/>
      <c r="I1" s="53"/>
      <c r="J1" s="55"/>
    </row>
    <row r="2" spans="1:10" s="1" customFormat="1" ht="36">
      <c r="A2" s="7"/>
      <c r="B2" s="31" t="s">
        <v>50</v>
      </c>
      <c r="C2" s="31" t="s">
        <v>51</v>
      </c>
      <c r="D2" s="46" t="s">
        <v>64</v>
      </c>
      <c r="E2" s="31" t="s">
        <v>52</v>
      </c>
      <c r="F2" s="8"/>
      <c r="G2" s="31" t="s">
        <v>50</v>
      </c>
      <c r="H2" s="31" t="s">
        <v>51</v>
      </c>
      <c r="I2" s="46" t="s">
        <v>64</v>
      </c>
      <c r="J2" s="32" t="s">
        <v>52</v>
      </c>
    </row>
    <row r="3" spans="1:10" ht="12.75">
      <c r="A3" s="9" t="s">
        <v>53</v>
      </c>
      <c r="B3" s="10"/>
      <c r="C3" s="10">
        <v>30</v>
      </c>
      <c r="D3" s="10">
        <v>30</v>
      </c>
      <c r="E3" s="10"/>
      <c r="F3" s="11"/>
      <c r="G3" s="10"/>
      <c r="H3" s="10"/>
      <c r="I3" s="10"/>
      <c r="J3" s="12"/>
    </row>
    <row r="4" spans="1:10" ht="12.75" hidden="1">
      <c r="A4" s="9"/>
      <c r="B4" s="10"/>
      <c r="C4" s="10"/>
      <c r="D4" s="10"/>
      <c r="E4" s="10"/>
      <c r="F4" s="11"/>
      <c r="G4" s="10"/>
      <c r="H4" s="10"/>
      <c r="I4" s="10"/>
      <c r="J4" s="12"/>
    </row>
    <row r="5" spans="1:10" ht="24">
      <c r="A5" s="24" t="s">
        <v>62</v>
      </c>
      <c r="B5" s="25">
        <f>SUM(B3:B4)</f>
        <v>0</v>
      </c>
      <c r="C5" s="25">
        <f>SUM(C3:C4)</f>
        <v>30</v>
      </c>
      <c r="D5" s="25">
        <f>SUM(D3:D4)</f>
        <v>30</v>
      </c>
      <c r="E5" s="25">
        <f>SUM(E3:E4)</f>
        <v>0</v>
      </c>
      <c r="F5" s="49"/>
      <c r="G5" s="25">
        <f>SUM(G3:G4)</f>
        <v>0</v>
      </c>
      <c r="H5" s="25">
        <f>SUM(H3:H4)</f>
        <v>0</v>
      </c>
      <c r="I5" s="25">
        <f>SUM(I3:I4)</f>
        <v>0</v>
      </c>
      <c r="J5" s="26">
        <f>SUM(J3:J4)</f>
        <v>0</v>
      </c>
    </row>
    <row r="6" spans="1:10" ht="12.75">
      <c r="A6" s="9" t="s">
        <v>0</v>
      </c>
      <c r="B6" s="10">
        <v>20</v>
      </c>
      <c r="C6" s="10">
        <v>591</v>
      </c>
      <c r="D6" s="48">
        <f>480*0+(391+84)</f>
        <v>475</v>
      </c>
      <c r="E6" s="10">
        <v>100</v>
      </c>
      <c r="F6" s="11"/>
      <c r="G6" s="10"/>
      <c r="H6" s="10"/>
      <c r="I6" s="10"/>
      <c r="J6" s="12"/>
    </row>
    <row r="7" spans="1:10" ht="24">
      <c r="A7" s="9" t="s">
        <v>16</v>
      </c>
      <c r="B7" s="10"/>
      <c r="C7" s="10">
        <f>100+414</f>
        <v>514</v>
      </c>
      <c r="D7" s="10">
        <f>100+14+400</f>
        <v>514</v>
      </c>
      <c r="E7" s="10">
        <f>100+500</f>
        <v>600</v>
      </c>
      <c r="F7" s="11"/>
      <c r="G7" s="10"/>
      <c r="H7" s="10"/>
      <c r="I7" s="10"/>
      <c r="J7" s="12"/>
    </row>
    <row r="8" spans="1:10" ht="12.75">
      <c r="A8" s="9" t="s">
        <v>55</v>
      </c>
      <c r="B8" s="10">
        <v>2000</v>
      </c>
      <c r="C8" s="10">
        <v>305</v>
      </c>
      <c r="D8" s="48">
        <f>305*0+311</f>
        <v>311</v>
      </c>
      <c r="E8" s="10"/>
      <c r="F8" s="11"/>
      <c r="G8" s="10"/>
      <c r="H8" s="10"/>
      <c r="I8" s="10"/>
      <c r="J8" s="12"/>
    </row>
    <row r="9" spans="1:10" ht="12.75">
      <c r="A9" s="9" t="s">
        <v>54</v>
      </c>
      <c r="B9" s="10">
        <v>90</v>
      </c>
      <c r="C9" s="10">
        <v>111</v>
      </c>
      <c r="D9" s="48">
        <f>111*0+187</f>
        <v>187</v>
      </c>
      <c r="E9" s="10">
        <v>100</v>
      </c>
      <c r="F9" s="11"/>
      <c r="G9" s="10"/>
      <c r="H9" s="10"/>
      <c r="I9" s="10"/>
      <c r="J9" s="12"/>
    </row>
    <row r="10" spans="1:10" ht="24">
      <c r="A10" s="24" t="s">
        <v>63</v>
      </c>
      <c r="B10" s="25">
        <f>SUM(B6:B9)</f>
        <v>2110</v>
      </c>
      <c r="C10" s="25">
        <f>SUM(C6:C9)</f>
        <v>1521</v>
      </c>
      <c r="D10" s="25">
        <f>SUM(D6:D9)</f>
        <v>1487</v>
      </c>
      <c r="E10" s="25">
        <f>SUM(E6:E9)</f>
        <v>800</v>
      </c>
      <c r="F10" s="49"/>
      <c r="G10" s="25">
        <f>SUM(G6:G9)</f>
        <v>0</v>
      </c>
      <c r="H10" s="25">
        <f>SUM(H6:H9)</f>
        <v>0</v>
      </c>
      <c r="I10" s="25">
        <f>SUM(I6:I9)</f>
        <v>0</v>
      </c>
      <c r="J10" s="26">
        <f>SUM(J6:J9)</f>
        <v>0</v>
      </c>
    </row>
    <row r="11" spans="1:10" ht="12.75">
      <c r="A11" s="9" t="s">
        <v>57</v>
      </c>
      <c r="B11" s="10">
        <f>480+20</f>
        <v>500</v>
      </c>
      <c r="C11" s="10">
        <f>1037+18+155</f>
        <v>1210</v>
      </c>
      <c r="D11" s="48">
        <f>1037+18+152-1207+(1183+146+153)</f>
        <v>1482</v>
      </c>
      <c r="E11" s="10">
        <f>500-300</f>
        <v>200</v>
      </c>
      <c r="F11" s="13"/>
      <c r="G11" s="10"/>
      <c r="H11" s="10"/>
      <c r="I11" s="10"/>
      <c r="J11" s="12"/>
    </row>
    <row r="12" spans="1:10" ht="12.75">
      <c r="A12" s="9" t="s">
        <v>56</v>
      </c>
      <c r="B12" s="10">
        <v>100</v>
      </c>
      <c r="C12" s="10">
        <v>100</v>
      </c>
      <c r="D12" s="48">
        <f>105*0+151</f>
        <v>151</v>
      </c>
      <c r="E12" s="10">
        <v>100</v>
      </c>
      <c r="F12" s="11"/>
      <c r="G12" s="10"/>
      <c r="H12" s="10"/>
      <c r="I12" s="10"/>
      <c r="J12" s="12"/>
    </row>
    <row r="13" spans="1:10" ht="24">
      <c r="A13" s="24" t="s">
        <v>15</v>
      </c>
      <c r="B13" s="25">
        <f>SUM(B11:B12)</f>
        <v>600</v>
      </c>
      <c r="C13" s="25">
        <f>SUM(C11:C12)</f>
        <v>1310</v>
      </c>
      <c r="D13" s="25">
        <f>SUM(D11:D12)</f>
        <v>1633</v>
      </c>
      <c r="E13" s="25">
        <f>SUM(E11:E12)</f>
        <v>300</v>
      </c>
      <c r="F13" s="49"/>
      <c r="G13" s="25">
        <f>SUM(G11:G12)</f>
        <v>0</v>
      </c>
      <c r="H13" s="25">
        <f>SUM(H11:H12)</f>
        <v>0</v>
      </c>
      <c r="I13" s="25">
        <f>SUM(I11:I12)</f>
        <v>0</v>
      </c>
      <c r="J13" s="26">
        <f>SUM(J11:J12)</f>
        <v>0</v>
      </c>
    </row>
    <row r="14" spans="1:10" s="42" customFormat="1" ht="12.75">
      <c r="A14" s="9" t="s">
        <v>1</v>
      </c>
      <c r="B14" s="33">
        <f>1505*1.05-0.25</f>
        <v>1580</v>
      </c>
      <c r="C14" s="21">
        <f>2543+192+3002</f>
        <v>5737</v>
      </c>
      <c r="D14" s="48">
        <f>2543+192+2980-5715+(2193+173+4227)</f>
        <v>6593</v>
      </c>
      <c r="E14" s="33">
        <f>1580*1.05+1</f>
        <v>1660</v>
      </c>
      <c r="F14" s="30" t="s">
        <v>49</v>
      </c>
      <c r="G14" s="33">
        <f>250*1397/1000+0.75</f>
        <v>350</v>
      </c>
      <c r="H14" s="34">
        <f>G14</f>
        <v>350</v>
      </c>
      <c r="I14" s="21">
        <f>H14</f>
        <v>350</v>
      </c>
      <c r="J14" s="14">
        <f>(250+75)*(1397*0+1375)/1000+0.125</f>
        <v>447</v>
      </c>
    </row>
    <row r="15" spans="1:10" s="42" customFormat="1" ht="12.75">
      <c r="A15" s="9" t="s">
        <v>2</v>
      </c>
      <c r="B15" s="33">
        <f>3096*1.05-0.8+500</f>
        <v>3750</v>
      </c>
      <c r="C15" s="21">
        <f>3340+1080+814</f>
        <v>5234</v>
      </c>
      <c r="D15" s="48">
        <f>3340+1540+814-5694+(3345+2312+814)</f>
        <v>6471</v>
      </c>
      <c r="E15" s="33">
        <f>3750*1.05+2.5</f>
        <v>3940</v>
      </c>
      <c r="F15" s="30" t="s">
        <v>49</v>
      </c>
      <c r="G15" s="33">
        <f>537*1397/1000-0.189</f>
        <v>750</v>
      </c>
      <c r="H15" s="34">
        <f>G15</f>
        <v>750</v>
      </c>
      <c r="I15" s="21">
        <f>H15</f>
        <v>750</v>
      </c>
      <c r="J15" s="14">
        <f>537*(1397*0+1375)/1000-0.375</f>
        <v>738</v>
      </c>
    </row>
    <row r="16" spans="1:10" s="43" customFormat="1" ht="12.75">
      <c r="A16" s="9" t="s">
        <v>3</v>
      </c>
      <c r="B16" s="33">
        <f>1000*1.05</f>
        <v>1050</v>
      </c>
      <c r="C16" s="21">
        <f>1050+110</f>
        <v>1160</v>
      </c>
      <c r="D16" s="48">
        <f>1050+334-151-1233+(1050-351+3121/3121*52)</f>
        <v>751</v>
      </c>
      <c r="E16" s="33">
        <f>1050*1.05-2.5</f>
        <v>1100</v>
      </c>
      <c r="F16" s="15"/>
      <c r="G16" s="16"/>
      <c r="H16" s="16"/>
      <c r="I16" s="16"/>
      <c r="J16" s="17"/>
    </row>
    <row r="17" spans="1:10" ht="12.75">
      <c r="A17" s="9" t="s">
        <v>4</v>
      </c>
      <c r="B17" s="10"/>
      <c r="C17" s="10">
        <v>5</v>
      </c>
      <c r="D17" s="48">
        <f>5*0+10</f>
        <v>10</v>
      </c>
      <c r="E17" s="10"/>
      <c r="F17" s="11"/>
      <c r="G17" s="10"/>
      <c r="H17" s="10"/>
      <c r="I17" s="10"/>
      <c r="J17" s="12"/>
    </row>
    <row r="18" spans="1:10" ht="24">
      <c r="A18" s="24" t="s">
        <v>14</v>
      </c>
      <c r="B18" s="25">
        <f>SUM(B14:B17)</f>
        <v>6380</v>
      </c>
      <c r="C18" s="25">
        <f>SUM(C14:C17)</f>
        <v>12136</v>
      </c>
      <c r="D18" s="25">
        <f>SUM(D14:D17)</f>
        <v>13825</v>
      </c>
      <c r="E18" s="25">
        <f>SUM(E14:E17)</f>
        <v>6700</v>
      </c>
      <c r="F18" s="49"/>
      <c r="G18" s="25">
        <f>SUM(G14:G17)</f>
        <v>1100</v>
      </c>
      <c r="H18" s="25">
        <f>SUM(H14:H17)</f>
        <v>1100</v>
      </c>
      <c r="I18" s="25">
        <f>SUM(I14:I17)</f>
        <v>1100</v>
      </c>
      <c r="J18" s="26">
        <f>SUM(J14:J17)</f>
        <v>1185</v>
      </c>
    </row>
    <row r="19" spans="1:10" ht="24">
      <c r="A19" s="9" t="s">
        <v>5</v>
      </c>
      <c r="B19" s="10">
        <f>100+100</f>
        <v>200</v>
      </c>
      <c r="C19" s="10">
        <f>158+426</f>
        <v>584</v>
      </c>
      <c r="D19" s="48">
        <f>158+426-584+(180+531)</f>
        <v>711</v>
      </c>
      <c r="E19" s="10">
        <f>100+160</f>
        <v>260</v>
      </c>
      <c r="F19" s="13"/>
      <c r="G19" s="10"/>
      <c r="H19" s="10"/>
      <c r="I19" s="10"/>
      <c r="J19" s="12"/>
    </row>
    <row r="20" spans="1:10" s="43" customFormat="1" ht="12.75">
      <c r="A20" s="9" t="s">
        <v>6</v>
      </c>
      <c r="B20" s="33">
        <f>12*121*(12*20)/1000+1.52</f>
        <v>350</v>
      </c>
      <c r="C20" s="21">
        <v>350</v>
      </c>
      <c r="D20" s="48">
        <f>350*0+320</f>
        <v>320</v>
      </c>
      <c r="E20" s="33">
        <f>12*121*(12*20)/1000+1.52</f>
        <v>350</v>
      </c>
      <c r="F20" s="15"/>
      <c r="G20" s="16"/>
      <c r="H20" s="16"/>
      <c r="I20" s="16"/>
      <c r="J20" s="17"/>
    </row>
    <row r="21" spans="1:10" s="42" customFormat="1" ht="12.75">
      <c r="A21" s="9" t="s">
        <v>7</v>
      </c>
      <c r="B21" s="10">
        <v>2446</v>
      </c>
      <c r="C21" s="10">
        <f>1880+1260*0</f>
        <v>1880</v>
      </c>
      <c r="D21" s="48">
        <f>1849+1260-3109+1151</f>
        <v>1151</v>
      </c>
      <c r="E21" s="33">
        <f>2446*1.1+9.4</f>
        <v>2700.0000000000005</v>
      </c>
      <c r="F21" s="15"/>
      <c r="G21" s="33">
        <f>480*1.05-4</f>
        <v>500</v>
      </c>
      <c r="H21" s="34">
        <v>440</v>
      </c>
      <c r="I21" s="48">
        <f>H21-440+432</f>
        <v>432</v>
      </c>
      <c r="J21" s="14">
        <f>440*1.05+8</f>
        <v>470</v>
      </c>
    </row>
    <row r="22" spans="1:10" s="42" customFormat="1" ht="12.75">
      <c r="A22" s="9" t="s">
        <v>58</v>
      </c>
      <c r="B22" s="10"/>
      <c r="C22" s="10">
        <v>1400</v>
      </c>
      <c r="D22" s="48">
        <f>C22-1400+1272</f>
        <v>1272</v>
      </c>
      <c r="E22" s="33"/>
      <c r="F22" s="15"/>
      <c r="G22" s="16"/>
      <c r="H22" s="16"/>
      <c r="I22" s="16"/>
      <c r="J22" s="14"/>
    </row>
    <row r="23" spans="1:10" ht="12.75">
      <c r="A23" s="9" t="s">
        <v>8</v>
      </c>
      <c r="B23" s="10">
        <v>50</v>
      </c>
      <c r="C23" s="10">
        <f>B23</f>
        <v>50</v>
      </c>
      <c r="D23" s="48">
        <f>43+5-48+46</f>
        <v>46</v>
      </c>
      <c r="E23" s="10">
        <v>50</v>
      </c>
      <c r="F23" s="11"/>
      <c r="G23" s="10"/>
      <c r="H23" s="10"/>
      <c r="I23" s="10"/>
      <c r="J23" s="12"/>
    </row>
    <row r="24" spans="1:10" ht="12.75">
      <c r="A24" s="9" t="s">
        <v>9</v>
      </c>
      <c r="B24" s="10">
        <v>30</v>
      </c>
      <c r="C24" s="10">
        <v>107</v>
      </c>
      <c r="D24" s="48">
        <f>65+20-85+58</f>
        <v>58</v>
      </c>
      <c r="E24" s="10">
        <v>30</v>
      </c>
      <c r="F24" s="11"/>
      <c r="G24" s="10"/>
      <c r="H24" s="10"/>
      <c r="I24" s="10"/>
      <c r="J24" s="12"/>
    </row>
    <row r="25" spans="1:10" ht="12.75" hidden="1">
      <c r="A25" s="9" t="s">
        <v>10</v>
      </c>
      <c r="B25" s="10"/>
      <c r="C25" s="10"/>
      <c r="D25" s="10"/>
      <c r="E25" s="10"/>
      <c r="F25" s="11"/>
      <c r="G25" s="10"/>
      <c r="H25" s="10"/>
      <c r="I25" s="10"/>
      <c r="J25" s="12"/>
    </row>
    <row r="26" spans="1:10" ht="12.75">
      <c r="A26" s="9" t="s">
        <v>11</v>
      </c>
      <c r="B26" s="10">
        <v>100</v>
      </c>
      <c r="C26" s="10">
        <v>246</v>
      </c>
      <c r="D26" s="48">
        <f>196+50-246+238</f>
        <v>238</v>
      </c>
      <c r="E26" s="10">
        <f>100+50</f>
        <v>150</v>
      </c>
      <c r="F26" s="11"/>
      <c r="G26" s="10"/>
      <c r="H26" s="10"/>
      <c r="I26" s="10"/>
      <c r="J26" s="12"/>
    </row>
    <row r="27" spans="1:10" ht="24">
      <c r="A27" s="24" t="s">
        <v>13</v>
      </c>
      <c r="B27" s="25">
        <f>SUM(B19:B26)</f>
        <v>3176</v>
      </c>
      <c r="C27" s="25">
        <f>SUM(C19:C26)</f>
        <v>4617</v>
      </c>
      <c r="D27" s="25">
        <f>SUM(D19:D26)</f>
        <v>3796</v>
      </c>
      <c r="E27" s="25">
        <f>SUM(E19:E26)</f>
        <v>3540.0000000000005</v>
      </c>
      <c r="F27" s="49"/>
      <c r="G27" s="25">
        <f>SUM(G19:G26)</f>
        <v>500</v>
      </c>
      <c r="H27" s="25">
        <f>SUM(H19:H26)</f>
        <v>440</v>
      </c>
      <c r="I27" s="25">
        <f>SUM(I19:I26)</f>
        <v>432</v>
      </c>
      <c r="J27" s="26">
        <f>SUM(J19:J26)</f>
        <v>470</v>
      </c>
    </row>
    <row r="28" spans="1:10" s="43" customFormat="1" ht="12.75">
      <c r="A28" s="9" t="s">
        <v>17</v>
      </c>
      <c r="B28" s="33">
        <f>(622*1.2+3.6-750)+622-255+493</f>
        <v>860</v>
      </c>
      <c r="C28" s="21">
        <f>B28</f>
        <v>860</v>
      </c>
      <c r="D28" s="48">
        <f>C28-860+669</f>
        <v>669</v>
      </c>
      <c r="E28" s="33">
        <f>860*0+746+3*81-3*35+500</f>
        <v>1384</v>
      </c>
      <c r="F28" s="15"/>
      <c r="G28" s="16"/>
      <c r="H28" s="16">
        <v>63</v>
      </c>
      <c r="I28" s="16">
        <f>H28</f>
        <v>63</v>
      </c>
      <c r="J28" s="17"/>
    </row>
    <row r="29" spans="1:10" s="43" customFormat="1" ht="12.75">
      <c r="A29" s="9" t="s">
        <v>18</v>
      </c>
      <c r="B29" s="33">
        <f>1828-984+1021</f>
        <v>1865</v>
      </c>
      <c r="C29" s="21">
        <f>B29</f>
        <v>1865</v>
      </c>
      <c r="D29" s="48">
        <f>C29-1865+2073</f>
        <v>2073</v>
      </c>
      <c r="E29" s="33">
        <f>1865*0+1804+3*150-54</f>
        <v>2200</v>
      </c>
      <c r="F29" s="15"/>
      <c r="G29" s="16">
        <v>130</v>
      </c>
      <c r="H29" s="16">
        <v>123</v>
      </c>
      <c r="I29" s="48">
        <f>H29-123+150</f>
        <v>150</v>
      </c>
      <c r="J29" s="17">
        <f>123*1.05-4.15</f>
        <v>125</v>
      </c>
    </row>
    <row r="30" spans="1:10" s="43" customFormat="1" ht="12.75">
      <c r="A30" s="9" t="s">
        <v>19</v>
      </c>
      <c r="B30" s="33">
        <f>(572*1.2+13.6-700)+572-215+353</f>
        <v>710</v>
      </c>
      <c r="C30" s="21">
        <f>710+4000</f>
        <v>4710</v>
      </c>
      <c r="D30" s="48">
        <f>C30-2500-2210+(955+1727)</f>
        <v>2682</v>
      </c>
      <c r="E30" s="33">
        <f>710*0+(1592-44/44*583)+(5500-2010/2010*1000-2011/2011*3000)</f>
        <v>2509</v>
      </c>
      <c r="F30" s="15"/>
      <c r="G30" s="16"/>
      <c r="H30" s="16"/>
      <c r="I30" s="16"/>
      <c r="J30" s="17"/>
    </row>
    <row r="31" spans="1:10" s="43" customFormat="1" ht="12.75">
      <c r="A31" s="9" t="s">
        <v>20</v>
      </c>
      <c r="B31" s="33">
        <f>12+16</f>
        <v>28</v>
      </c>
      <c r="C31" s="21">
        <f>B31</f>
        <v>28</v>
      </c>
      <c r="D31" s="48">
        <f>C31-28+(12+1)</f>
        <v>13</v>
      </c>
      <c r="E31" s="33">
        <f>12+16</f>
        <v>28</v>
      </c>
      <c r="F31" s="15"/>
      <c r="G31" s="16"/>
      <c r="H31" s="16"/>
      <c r="I31" s="16"/>
      <c r="J31" s="17"/>
    </row>
    <row r="32" spans="1:10" ht="12.75">
      <c r="A32" s="9" t="s">
        <v>21</v>
      </c>
      <c r="B32" s="10">
        <f>35+60+40+50+150</f>
        <v>335</v>
      </c>
      <c r="C32" s="10">
        <f>B32+221-379</f>
        <v>177</v>
      </c>
      <c r="D32" s="48">
        <f>C32-15-162+78</f>
        <v>78</v>
      </c>
      <c r="E32" s="10">
        <f>35+60+40+50+150</f>
        <v>335</v>
      </c>
      <c r="F32" s="13"/>
      <c r="G32" s="10">
        <v>140</v>
      </c>
      <c r="H32" s="10">
        <v>100</v>
      </c>
      <c r="I32" s="10">
        <f>H32</f>
        <v>100</v>
      </c>
      <c r="J32" s="12">
        <f>100*1.1</f>
        <v>110.00000000000001</v>
      </c>
    </row>
    <row r="33" spans="1:10" ht="12.75">
      <c r="A33" s="9" t="s">
        <v>22</v>
      </c>
      <c r="B33" s="10"/>
      <c r="C33" s="10">
        <f>52+249+138+500</f>
        <v>939</v>
      </c>
      <c r="D33" s="48">
        <f>52+249+138+500-939+1535</f>
        <v>1535</v>
      </c>
      <c r="E33" s="10"/>
      <c r="F33" s="11"/>
      <c r="G33" s="10"/>
      <c r="H33" s="10">
        <v>300</v>
      </c>
      <c r="I33" s="10">
        <f>H33</f>
        <v>300</v>
      </c>
      <c r="J33" s="12"/>
    </row>
    <row r="34" spans="1:10" ht="12.75">
      <c r="A34" s="9" t="s">
        <v>0</v>
      </c>
      <c r="B34" s="10"/>
      <c r="C34" s="10"/>
      <c r="D34" s="48">
        <f>52*0+76</f>
        <v>76</v>
      </c>
      <c r="E34" s="10"/>
      <c r="F34" s="11"/>
      <c r="G34" s="10"/>
      <c r="H34" s="10"/>
      <c r="I34" s="10"/>
      <c r="J34" s="12"/>
    </row>
    <row r="35" spans="1:10" ht="24">
      <c r="A35" s="24" t="s">
        <v>12</v>
      </c>
      <c r="B35" s="25">
        <f>SUM(B28:B34)</f>
        <v>3798</v>
      </c>
      <c r="C35" s="25">
        <f>SUM(C28:C34)</f>
        <v>8579</v>
      </c>
      <c r="D35" s="25">
        <f>SUM(D28:D34)</f>
        <v>7126</v>
      </c>
      <c r="E35" s="25">
        <f>SUM(E28:E34)</f>
        <v>6456</v>
      </c>
      <c r="F35" s="49"/>
      <c r="G35" s="25">
        <f>SUM(G28:G34)</f>
        <v>270</v>
      </c>
      <c r="H35" s="25">
        <f>SUM(H28:H34)</f>
        <v>586</v>
      </c>
      <c r="I35" s="25">
        <f>SUM(I28:I34)</f>
        <v>613</v>
      </c>
      <c r="J35" s="26">
        <f>SUM(J28:J34)</f>
        <v>235</v>
      </c>
    </row>
    <row r="36" spans="1:10" ht="12.75">
      <c r="A36" s="9" t="s">
        <v>24</v>
      </c>
      <c r="B36" s="10">
        <v>350</v>
      </c>
      <c r="C36" s="10">
        <f>B36</f>
        <v>350</v>
      </c>
      <c r="D36" s="48">
        <f>C36-350+339</f>
        <v>339</v>
      </c>
      <c r="E36" s="10">
        <v>350</v>
      </c>
      <c r="F36" s="11"/>
      <c r="G36" s="10"/>
      <c r="H36" s="10"/>
      <c r="I36" s="10"/>
      <c r="J36" s="12"/>
    </row>
    <row r="37" spans="1:10" ht="12.75">
      <c r="A37" s="9"/>
      <c r="B37" s="10"/>
      <c r="C37" s="10"/>
      <c r="D37" s="10"/>
      <c r="E37" s="10"/>
      <c r="F37" s="11"/>
      <c r="G37" s="10"/>
      <c r="H37" s="10"/>
      <c r="I37" s="10"/>
      <c r="J37" s="12"/>
    </row>
    <row r="38" spans="1:10" ht="24">
      <c r="A38" s="24" t="s">
        <v>23</v>
      </c>
      <c r="B38" s="25">
        <f>SUM(B36:B37)</f>
        <v>350</v>
      </c>
      <c r="C38" s="25">
        <f>SUM(C36:C37)</f>
        <v>350</v>
      </c>
      <c r="D38" s="25">
        <f>SUM(D36:D37)</f>
        <v>339</v>
      </c>
      <c r="E38" s="25">
        <f>SUM(E36:E37)</f>
        <v>350</v>
      </c>
      <c r="F38" s="49"/>
      <c r="G38" s="25">
        <f>SUM(G36:G37)</f>
        <v>0</v>
      </c>
      <c r="H38" s="25">
        <f>SUM(H36:H37)</f>
        <v>0</v>
      </c>
      <c r="I38" s="25">
        <f>SUM(I36:I37)</f>
        <v>0</v>
      </c>
      <c r="J38" s="26">
        <f>SUM(J36:J37)</f>
        <v>0</v>
      </c>
    </row>
    <row r="39" spans="1:10" s="42" customFormat="1" ht="12.75">
      <c r="A39" s="9" t="s">
        <v>26</v>
      </c>
      <c r="B39" s="33">
        <f>1000+8000</f>
        <v>9000</v>
      </c>
      <c r="C39" s="35">
        <f>B39-965</f>
        <v>8035</v>
      </c>
      <c r="D39" s="50">
        <f>7066+350-7416+5131</f>
        <v>5131</v>
      </c>
      <c r="E39" s="33">
        <f>5000-2000</f>
        <v>3000</v>
      </c>
      <c r="F39" s="15"/>
      <c r="G39" s="33">
        <f>2008/2008*(14000*3/4*110%-11550*0-550)</f>
        <v>11000.000000000002</v>
      </c>
      <c r="H39" s="34">
        <f>11000-1966.9*0-(1079.9+750)+427</f>
        <v>9597.1</v>
      </c>
      <c r="I39" s="48">
        <f>H39-60.1-9537+427</f>
        <v>427</v>
      </c>
      <c r="J39" s="14">
        <f>10000*0+(1350*12-16200)*0+(87694-66438)-21256/2+1372</f>
        <v>12000</v>
      </c>
    </row>
    <row r="40" spans="1:10" s="43" customFormat="1" ht="12.75">
      <c r="A40" s="9" t="s">
        <v>27</v>
      </c>
      <c r="B40" s="33">
        <f>6000*1.05</f>
        <v>6300</v>
      </c>
      <c r="C40" s="35">
        <f>B40</f>
        <v>6300</v>
      </c>
      <c r="D40" s="35">
        <f>C40</f>
        <v>6300</v>
      </c>
      <c r="E40" s="33">
        <f>(6000*0+6300)*(1.05*0+1.1*0+1.15)-315*0-630*0+55-1000*0</f>
        <v>7299.999999999999</v>
      </c>
      <c r="F40" s="15"/>
      <c r="G40" s="16"/>
      <c r="H40" s="16"/>
      <c r="I40" s="16"/>
      <c r="J40" s="17"/>
    </row>
    <row r="41" spans="1:10" ht="24">
      <c r="A41" s="24" t="s">
        <v>25</v>
      </c>
      <c r="B41" s="25">
        <f>SUM(B39:B40)</f>
        <v>15300</v>
      </c>
      <c r="C41" s="25">
        <f>SUM(C39:C40)</f>
        <v>14335</v>
      </c>
      <c r="D41" s="25">
        <f>SUM(D39:D40)</f>
        <v>11431</v>
      </c>
      <c r="E41" s="25">
        <f>SUM(E39:E40)</f>
        <v>10300</v>
      </c>
      <c r="F41" s="49"/>
      <c r="G41" s="25">
        <f>SUM(G39:G40)</f>
        <v>11000.000000000002</v>
      </c>
      <c r="H41" s="25">
        <f>SUM(H39:H40)</f>
        <v>9597.1</v>
      </c>
      <c r="I41" s="25">
        <f>SUM(I39:I40)</f>
        <v>427</v>
      </c>
      <c r="J41" s="26">
        <f>SUM(J39:J40)</f>
        <v>12000</v>
      </c>
    </row>
    <row r="42" spans="1:10" s="43" customFormat="1" ht="12.75">
      <c r="A42" s="9" t="s">
        <v>29</v>
      </c>
      <c r="B42" s="33">
        <f>((174.28*12+48.64)+130-2270)+2232-2102+(2091+55)</f>
        <v>2276</v>
      </c>
      <c r="C42" s="21">
        <f>B42+137</f>
        <v>2413</v>
      </c>
      <c r="D42" s="48">
        <f>1763+3*180+60+50-2413+2536</f>
        <v>2536</v>
      </c>
      <c r="E42" s="33">
        <f>2276*1.025+0.1-2333+175*12*(1.09-0.09)+50+150</f>
        <v>2299.9999999999995</v>
      </c>
      <c r="F42" s="18" t="s">
        <v>40</v>
      </c>
      <c r="G42" s="16">
        <f>300*0</f>
        <v>0</v>
      </c>
      <c r="H42" s="16">
        <v>140</v>
      </c>
      <c r="I42" s="48">
        <f>140*0+123</f>
        <v>123</v>
      </c>
      <c r="J42" s="17">
        <v>100</v>
      </c>
    </row>
    <row r="43" spans="1:10" s="42" customFormat="1" ht="12.75">
      <c r="A43" s="9" t="s">
        <v>30</v>
      </c>
      <c r="B43" s="10">
        <f>18500+9756+20069+16/16*400</f>
        <v>48725</v>
      </c>
      <c r="C43" s="10">
        <f>B43+(-17.5-800-(1000-137*0)-1000+7+30+160+30)</f>
        <v>46134.5</v>
      </c>
      <c r="D43" s="48">
        <f>(13599+8211+11883+152+377-34222*0)/(10*0+9)*12+1012/1012*(0.6-41067*0)+912/912*(0.6667-45630*0)*0+(45630-41067)*0.25-50.683333-46720+(12400+10253+15646+578+7+30)</f>
        <v>38914.000000333326</v>
      </c>
      <c r="E43" s="47">
        <f>48725*1.025-43.125-2071</f>
        <v>47828.99999999999</v>
      </c>
      <c r="F43" s="30" t="s">
        <v>49</v>
      </c>
      <c r="G43" s="10">
        <f>9881*0+2010/2010*18478</f>
        <v>18478</v>
      </c>
      <c r="H43" s="10">
        <f>8708*0+G43</f>
        <v>18478</v>
      </c>
      <c r="I43" s="10">
        <f>8708*0+H43</f>
        <v>18478</v>
      </c>
      <c r="J43" s="14">
        <f>18478*0+16653-J14-J15</f>
        <v>15468</v>
      </c>
    </row>
    <row r="44" spans="1:10" ht="12.75">
      <c r="A44" s="19" t="s">
        <v>31</v>
      </c>
      <c r="B44" s="10">
        <f>380+530+150</f>
        <v>1060</v>
      </c>
      <c r="C44" s="10">
        <f>B44+140+110</f>
        <v>1310</v>
      </c>
      <c r="D44" s="48">
        <f>21/21*(583-62)+23/23*523+732/732*262+4-1310+(589+659+175+181)</f>
        <v>1604</v>
      </c>
      <c r="E44" s="10">
        <f>583-62+523+262</f>
        <v>1306</v>
      </c>
      <c r="F44" s="13" t="s">
        <v>39</v>
      </c>
      <c r="G44" s="10"/>
      <c r="H44" s="10"/>
      <c r="I44" s="48">
        <f>286+2*25-336+309</f>
        <v>309</v>
      </c>
      <c r="J44" s="12"/>
    </row>
    <row r="45" spans="1:10" ht="12.75">
      <c r="A45" s="9" t="s">
        <v>32</v>
      </c>
      <c r="B45" s="10"/>
      <c r="C45" s="10"/>
      <c r="D45" s="10"/>
      <c r="E45" s="10">
        <f>3113/3113*(5000-3500)+6171/6171*((4000-3612/3612*E39)+2000)</f>
        <v>4500</v>
      </c>
      <c r="F45" s="11" t="s">
        <v>41</v>
      </c>
      <c r="G45" s="10">
        <f>500*0</f>
        <v>0</v>
      </c>
      <c r="H45" s="10">
        <v>430</v>
      </c>
      <c r="I45" s="48">
        <f>H45-430+571</f>
        <v>571</v>
      </c>
      <c r="J45" s="12">
        <v>300</v>
      </c>
    </row>
    <row r="46" spans="1:10" ht="12.75">
      <c r="A46" s="9" t="s">
        <v>33</v>
      </c>
      <c r="B46" s="10"/>
      <c r="C46" s="10">
        <f>229.5+200</f>
        <v>429.5</v>
      </c>
      <c r="D46" s="48">
        <f>446*0+(492+47+626*0+77+69)</f>
        <v>685</v>
      </c>
      <c r="E46" s="10">
        <v>150</v>
      </c>
      <c r="F46" s="11" t="s">
        <v>43</v>
      </c>
      <c r="G46" s="10"/>
      <c r="H46" s="10">
        <v>331</v>
      </c>
      <c r="I46" s="48">
        <f>331*0+364</f>
        <v>364</v>
      </c>
      <c r="J46" s="12"/>
    </row>
    <row r="47" spans="1:10" ht="12.75">
      <c r="A47" s="9" t="s">
        <v>34</v>
      </c>
      <c r="B47" s="10">
        <v>100</v>
      </c>
      <c r="C47" s="10">
        <f>B47+16/16*610+2412/2412*130+(212+40)</f>
        <v>1092</v>
      </c>
      <c r="D47" s="48">
        <f>2/2*70+16/16*610+130+352-1162+(387+626)</f>
        <v>1013</v>
      </c>
      <c r="E47" s="10">
        <f>16/16*(509+101)+(77+50)+352+3</f>
        <v>1092</v>
      </c>
      <c r="F47" s="11" t="s">
        <v>42</v>
      </c>
      <c r="G47" s="10">
        <v>250</v>
      </c>
      <c r="H47" s="10">
        <v>160</v>
      </c>
      <c r="I47" s="48">
        <f>H47-160+159</f>
        <v>159</v>
      </c>
      <c r="J47" s="12">
        <v>160</v>
      </c>
    </row>
    <row r="48" spans="1:10" ht="12.75">
      <c r="A48" s="9"/>
      <c r="B48" s="10"/>
      <c r="C48" s="10"/>
      <c r="D48" s="10"/>
      <c r="E48" s="10"/>
      <c r="F48" s="11" t="s">
        <v>60</v>
      </c>
      <c r="G48" s="10"/>
      <c r="H48" s="10">
        <f>1433+69</f>
        <v>1502</v>
      </c>
      <c r="I48" s="48">
        <f>H48-1502+(91+1459)</f>
        <v>1550</v>
      </c>
      <c r="J48" s="12"/>
    </row>
    <row r="49" spans="1:10" ht="24">
      <c r="A49" s="24" t="s">
        <v>28</v>
      </c>
      <c r="B49" s="25">
        <f>SUM(B42:B48)</f>
        <v>52161</v>
      </c>
      <c r="C49" s="25">
        <f>SUM(C42:C48)</f>
        <v>51379</v>
      </c>
      <c r="D49" s="25">
        <f>SUM(D42:D48)</f>
        <v>44752.000000333326</v>
      </c>
      <c r="E49" s="25">
        <f>SUM(E42:E48)</f>
        <v>57176.99999999999</v>
      </c>
      <c r="F49" s="49"/>
      <c r="G49" s="25">
        <f>SUM(G42:G48)</f>
        <v>18728</v>
      </c>
      <c r="H49" s="25">
        <f>SUM(H42:H48)</f>
        <v>21041</v>
      </c>
      <c r="I49" s="25">
        <f>SUM(I42:I48)</f>
        <v>21554</v>
      </c>
      <c r="J49" s="26">
        <f>SUM(J42:J48)</f>
        <v>16028</v>
      </c>
    </row>
    <row r="50" spans="1:10" s="44" customFormat="1" ht="12.75">
      <c r="A50" s="9"/>
      <c r="B50" s="10"/>
      <c r="C50" s="10"/>
      <c r="D50" s="10"/>
      <c r="E50" s="10"/>
      <c r="F50" s="11" t="s">
        <v>48</v>
      </c>
      <c r="G50" s="36">
        <f>250+35+520+13+250+1300</f>
        <v>2368</v>
      </c>
      <c r="H50" s="37">
        <f>G50</f>
        <v>2368</v>
      </c>
      <c r="I50" s="48">
        <f>2400*0+2345</f>
        <v>2345</v>
      </c>
      <c r="J50" s="38">
        <f>(250+35+520+13+250+1300)+32</f>
        <v>2400</v>
      </c>
    </row>
    <row r="51" spans="1:10" s="44" customFormat="1" ht="12.75">
      <c r="A51" s="9"/>
      <c r="B51" s="10"/>
      <c r="C51" s="10"/>
      <c r="D51" s="10"/>
      <c r="E51" s="10"/>
      <c r="F51" s="11" t="s">
        <v>47</v>
      </c>
      <c r="G51" s="10">
        <v>3400</v>
      </c>
      <c r="H51" s="10">
        <v>2700</v>
      </c>
      <c r="I51" s="51">
        <f>H51-2700+2588</f>
        <v>2588</v>
      </c>
      <c r="J51" s="52">
        <f>2700*1.035+5.5</f>
        <v>2800</v>
      </c>
    </row>
    <row r="52" spans="1:10" ht="12.75">
      <c r="A52" s="9"/>
      <c r="B52" s="10"/>
      <c r="C52" s="10"/>
      <c r="D52" s="10"/>
      <c r="E52" s="10"/>
      <c r="F52" s="11" t="s">
        <v>46</v>
      </c>
      <c r="G52" s="10">
        <f>5000*0+9200-2200</f>
        <v>7000</v>
      </c>
      <c r="H52" s="10">
        <f>G52+2200</f>
        <v>9200</v>
      </c>
      <c r="I52" s="48">
        <f>H52-9200+8653</f>
        <v>8653</v>
      </c>
      <c r="J52" s="12">
        <f>5000*0+9200</f>
        <v>9200</v>
      </c>
    </row>
    <row r="53" spans="1:10" s="42" customFormat="1" ht="12.75">
      <c r="A53" s="9"/>
      <c r="B53" s="10"/>
      <c r="C53" s="10"/>
      <c r="D53" s="10"/>
      <c r="E53" s="10"/>
      <c r="F53" s="11" t="s">
        <v>45</v>
      </c>
      <c r="G53" s="10">
        <f>33534*0+31349</f>
        <v>31349</v>
      </c>
      <c r="H53" s="10">
        <f>G53</f>
        <v>31349</v>
      </c>
      <c r="I53" s="10">
        <f>H53</f>
        <v>31349</v>
      </c>
      <c r="J53" s="45">
        <f>8408*3.728472883*0+(31120-2071)</f>
        <v>29049</v>
      </c>
    </row>
    <row r="54" spans="1:10" ht="12.75">
      <c r="A54" s="9"/>
      <c r="B54" s="10"/>
      <c r="C54" s="10"/>
      <c r="D54" s="10"/>
      <c r="E54" s="10"/>
      <c r="F54" s="11" t="s">
        <v>61</v>
      </c>
      <c r="G54" s="10"/>
      <c r="H54" s="10">
        <v>9835.9</v>
      </c>
      <c r="I54" s="10">
        <f>H54+0.1</f>
        <v>9836</v>
      </c>
      <c r="J54" s="12"/>
    </row>
    <row r="55" spans="1:10" s="42" customFormat="1" ht="12.75">
      <c r="A55" s="9"/>
      <c r="B55" s="10"/>
      <c r="C55" s="10"/>
      <c r="D55" s="10"/>
      <c r="E55" s="10"/>
      <c r="F55" s="11" t="s">
        <v>44</v>
      </c>
      <c r="G55" s="33">
        <f>4662+2498+1000</f>
        <v>8160</v>
      </c>
      <c r="H55" s="34">
        <v>6040</v>
      </c>
      <c r="I55" s="48">
        <f>6040-4398-1642+7000</f>
        <v>7000</v>
      </c>
      <c r="J55" s="14">
        <f>3000*0+21256/2*2-J39-9256*0+3000</f>
        <v>12256</v>
      </c>
    </row>
    <row r="56" spans="1:10" s="42" customFormat="1" ht="12.75">
      <c r="A56" s="9"/>
      <c r="B56" s="10"/>
      <c r="C56" s="10"/>
      <c r="D56" s="10"/>
      <c r="E56" s="10"/>
      <c r="F56" s="20" t="s">
        <v>59</v>
      </c>
      <c r="G56" s="21"/>
      <c r="H56" s="39">
        <v>-750</v>
      </c>
      <c r="I56" s="21">
        <f>H56</f>
        <v>-750</v>
      </c>
      <c r="J56" s="22"/>
    </row>
    <row r="57" spans="1:10" ht="24">
      <c r="A57" s="24" t="s">
        <v>35</v>
      </c>
      <c r="B57" s="25">
        <f>SUM(B50:B56)</f>
        <v>0</v>
      </c>
      <c r="C57" s="25">
        <f>SUM(C50:C56)</f>
        <v>0</v>
      </c>
      <c r="D57" s="25">
        <f>SUM(D50:D56)</f>
        <v>0</v>
      </c>
      <c r="E57" s="25">
        <f>SUM(E50:E56)</f>
        <v>0</v>
      </c>
      <c r="F57" s="11"/>
      <c r="G57" s="25">
        <f>SUM(G50:G56)</f>
        <v>52277</v>
      </c>
      <c r="H57" s="25">
        <f>SUM(H50:H56)</f>
        <v>60742.9</v>
      </c>
      <c r="I57" s="25">
        <f>SUM(I50:I56)</f>
        <v>61021</v>
      </c>
      <c r="J57" s="26">
        <f>SUM(J50:J56)</f>
        <v>55705</v>
      </c>
    </row>
    <row r="58" spans="1:10" ht="12.75">
      <c r="A58" s="9"/>
      <c r="B58" s="10"/>
      <c r="C58" s="10"/>
      <c r="D58" s="10"/>
      <c r="E58" s="10"/>
      <c r="F58" s="11"/>
      <c r="G58" s="10"/>
      <c r="H58" s="10"/>
      <c r="I58" s="10"/>
      <c r="J58" s="12"/>
    </row>
    <row r="59" spans="1:10" ht="13.5" thickBot="1">
      <c r="A59" s="27" t="s">
        <v>36</v>
      </c>
      <c r="B59" s="28">
        <f>SUM(B3:B58)/2</f>
        <v>83875</v>
      </c>
      <c r="C59" s="28">
        <f>SUM(C3:C58)/2</f>
        <v>94257</v>
      </c>
      <c r="D59" s="28">
        <f>SUM(D3:D58)/2</f>
        <v>84419.00000033333</v>
      </c>
      <c r="E59" s="28">
        <f>SUM(E3:E58)/2</f>
        <v>85623</v>
      </c>
      <c r="F59" s="23"/>
      <c r="G59" s="28">
        <f>SUM(G3:G58)/2</f>
        <v>83875</v>
      </c>
      <c r="H59" s="28">
        <f>SUM(H3:H58)/2</f>
        <v>93507</v>
      </c>
      <c r="I59" s="28">
        <f>SUM(I3:I58)/2</f>
        <v>85147</v>
      </c>
      <c r="J59" s="29">
        <f>SUM(J3:J58)/2</f>
        <v>85623</v>
      </c>
    </row>
    <row r="60" ht="13.5" thickTop="1"/>
  </sheetData>
  <sheetProtection password="CC4F" sheet="1" objects="1" scenarios="1"/>
  <mergeCells count="2">
    <mergeCell ref="B1:E1"/>
    <mergeCell ref="G1:J1"/>
  </mergeCells>
  <printOptions gridLines="1"/>
  <pageMargins left="0.1968503937007874" right="0" top="0.7874015748031497" bottom="0.5905511811023623" header="0.5118110236220472" footer="0.31496062992125984"/>
  <pageSetup horizontalDpi="600" verticalDpi="600" orientation="portrait" paperSize="9" scale="85" r:id="rId1"/>
  <headerFooter alignWithMargins="0">
    <oddHeader>&amp;L&amp;"Arial,tučné kurzíva"&amp;14Návrh rozpočtu na rok 2011&amp;R&amp;"Arial,tučné kurzíva"ZMČ 23.3.2011 příl  2</oddHeader>
    <oddFooter>&amp;L&amp;F&amp;R&amp;P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Radotín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Tišlová</dc:creator>
  <cp:keywords/>
  <dc:description/>
  <cp:lastModifiedBy>Jana Hejrová</cp:lastModifiedBy>
  <cp:lastPrinted>2011-03-06T16:52:33Z</cp:lastPrinted>
  <dcterms:created xsi:type="dcterms:W3CDTF">2009-11-29T19:02:18Z</dcterms:created>
  <dcterms:modified xsi:type="dcterms:W3CDTF">2011-04-07T11:00:13Z</dcterms:modified>
  <cp:category/>
  <cp:version/>
  <cp:contentType/>
  <cp:contentStatus/>
</cp:coreProperties>
</file>