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10" windowWidth="9195" windowHeight="880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'List1'!$A:$A,'List1'!$1:$2</definedName>
  </definedNames>
  <calcPr fullCalcOnLoad="1"/>
</workbook>
</file>

<file path=xl/sharedStrings.xml><?xml version="1.0" encoding="utf-8"?>
<sst xmlns="http://schemas.openxmlformats.org/spreadsheetml/2006/main" count="145" uniqueCount="129">
  <si>
    <t>R 2009</t>
  </si>
  <si>
    <t>UR 2009</t>
  </si>
  <si>
    <t>předpoklad 12/2009</t>
  </si>
  <si>
    <t>3421 dětská hřiště</t>
  </si>
  <si>
    <t>3745 veř.zeleň</t>
  </si>
  <si>
    <t>3111 mat.škola</t>
  </si>
  <si>
    <t>3141 škol.jídelna</t>
  </si>
  <si>
    <t>3231 zákl.uměl.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</si>
  <si>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</si>
  <si>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</si>
  <si>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</si>
  <si>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</si>
  <si>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</si>
  <si>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</si>
  <si>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06                       KULTURA  A  SPORT</t>
  </si>
  <si>
    <t>05                                SOC. A  ZDRAV.</t>
  </si>
  <si>
    <t>04                                Š K O L S T V Í</t>
  </si>
  <si>
    <t>03                             D O P R A V A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</si>
  <si>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2"/>
      </rPr>
      <t xml:space="preserve"> odpady</t>
    </r>
  </si>
  <si>
    <t>3313 kino</t>
  </si>
  <si>
    <t>3314 knihovna</t>
  </si>
  <si>
    <t>3319 kult.střed</t>
  </si>
  <si>
    <t>3319 kronika,letopis</t>
  </si>
  <si>
    <t>3319 kult.akce</t>
  </si>
  <si>
    <t>3412 sport.hala</t>
  </si>
  <si>
    <t>07                                  B E Z P E Č N O S T</t>
  </si>
  <si>
    <t>5512 dobrov.hasiči</t>
  </si>
  <si>
    <t>08      HOSPODÁŘSTVÍ</t>
  </si>
  <si>
    <t>3612 dom.správa</t>
  </si>
  <si>
    <t>3612 bytové hosp.</t>
  </si>
  <si>
    <t>3639,3632 techn.sl</t>
  </si>
  <si>
    <t>09                                     VNITŘNÍ  SPRÁVA</t>
  </si>
  <si>
    <t>6112 ZMČ</t>
  </si>
  <si>
    <t>6171 úřad provoz</t>
  </si>
  <si>
    <t>investiční akce</t>
  </si>
  <si>
    <t>kulturní akce</t>
  </si>
  <si>
    <t>různé organizační</t>
  </si>
  <si>
    <t>10                              FINANCOVÁNÍ</t>
  </si>
  <si>
    <t xml:space="preserve"> =1505*1,05-0,25</t>
  </si>
  <si>
    <t xml:space="preserve"> =1000*1,05</t>
  </si>
  <si>
    <t xml:space="preserve"> =12*121*(12*20)/1000+1,52</t>
  </si>
  <si>
    <t xml:space="preserve"> =2330-1432+1548</t>
  </si>
  <si>
    <t xml:space="preserve"> =(622*1,2+3,6-750)+622-255+493</t>
  </si>
  <si>
    <t xml:space="preserve"> =1828-984+1021</t>
  </si>
  <si>
    <t xml:space="preserve"> =(572*1,2+13,6-700)+572-215+353</t>
  </si>
  <si>
    <t xml:space="preserve"> =12+16</t>
  </si>
  <si>
    <t xml:space="preserve"> =35+60+40+50+150</t>
  </si>
  <si>
    <t xml:space="preserve"> =1000+8000</t>
  </si>
  <si>
    <t xml:space="preserve"> =6000*1,05</t>
  </si>
  <si>
    <t xml:space="preserve"> =18500+9756+20069+16/16*400</t>
  </si>
  <si>
    <t xml:space="preserve"> =((174,28*12+48,64)+130-2270) +2232-2102+(2091+55)</t>
  </si>
  <si>
    <t>V Ý D A J E</t>
  </si>
  <si>
    <t>P Ř Í J M Y</t>
  </si>
  <si>
    <t>dotace stát</t>
  </si>
  <si>
    <t>2460 splátky půjček SFZ</t>
  </si>
  <si>
    <t>2141 úroky</t>
  </si>
  <si>
    <t>2210 sankce</t>
  </si>
  <si>
    <t>2343 dobýv.prostor</t>
  </si>
  <si>
    <t xml:space="preserve"> =250*1397/1000+0,75</t>
  </si>
  <si>
    <t xml:space="preserve"> =537*1397/1000-0,189</t>
  </si>
  <si>
    <t xml:space="preserve"> =480*1,05-4</t>
  </si>
  <si>
    <r>
      <t>dary</t>
    </r>
    <r>
      <rPr>
        <sz val="7"/>
        <rFont val="Arial"/>
        <family val="2"/>
      </rPr>
      <t xml:space="preserve"> 2321 neinv 3121 inv 4129 SO</t>
    </r>
  </si>
  <si>
    <t>4131 z účtu ekon.činnosti</t>
  </si>
  <si>
    <t>4121 HMP dotace</t>
  </si>
  <si>
    <t>1511 daň z nemovitostí</t>
  </si>
  <si>
    <t>1361 správní poplatky</t>
  </si>
  <si>
    <t>1341-5,7,51 místní poplatky</t>
  </si>
  <si>
    <t xml:space="preserve"> =250+35+520+13+250+1300</t>
  </si>
  <si>
    <t xml:space="preserve"> =8408*3,728472883</t>
  </si>
  <si>
    <t xml:space="preserve"> =4662+2498+1000</t>
  </si>
  <si>
    <t xml:space="preserve"> =3096*1,05-0,8+500</t>
  </si>
  <si>
    <r>
      <t xml:space="preserve"> =3400-</t>
    </r>
    <r>
      <rPr>
        <strike/>
        <sz val="8"/>
        <rFont val="Arial"/>
        <family val="2"/>
      </rPr>
      <t>500</t>
    </r>
  </si>
  <si>
    <t>2219 ost.zál.komun</t>
  </si>
  <si>
    <t>2212 silnice</t>
  </si>
  <si>
    <r>
      <t xml:space="preserve"> =500+</t>
    </r>
    <r>
      <rPr>
        <strike/>
        <sz val="8"/>
        <rFont val="Arial"/>
        <family val="2"/>
      </rPr>
      <t>100</t>
    </r>
  </si>
  <si>
    <r>
      <t xml:space="preserve"> =</t>
    </r>
    <r>
      <rPr>
        <strike/>
        <sz val="8"/>
        <rFont val="Arial"/>
        <family val="2"/>
      </rPr>
      <t>500</t>
    </r>
    <r>
      <rPr>
        <sz val="8"/>
        <rFont val="Arial"/>
        <family val="0"/>
      </rPr>
      <t>+100</t>
    </r>
  </si>
  <si>
    <t>osvětl SH,Chrob</t>
  </si>
  <si>
    <t>zimní údržba 79,3</t>
  </si>
  <si>
    <t>ZŠ objekty</t>
  </si>
  <si>
    <t>Skutečnost 1/2010</t>
  </si>
  <si>
    <t>3121 gymnazium</t>
  </si>
  <si>
    <t>ŠJ objekt</t>
  </si>
  <si>
    <t>Účelové prostředky poskytnuté státem a HMP:</t>
  </si>
  <si>
    <t>Hmotná nouze a ZP UZ 13306</t>
  </si>
  <si>
    <t>Příspěvek na péči UZ 13235</t>
  </si>
  <si>
    <t>účelové dotace CELKEM</t>
  </si>
  <si>
    <t>MČ vlastní CELKEM</t>
  </si>
  <si>
    <t>MČ P 16 CELKEM</t>
  </si>
  <si>
    <t>4351/2 NDPS čp 1517</t>
  </si>
  <si>
    <r>
      <t xml:space="preserve"> =</t>
    </r>
    <r>
      <rPr>
        <strike/>
        <sz val="8"/>
        <rFont val="Arial"/>
        <family val="2"/>
      </rPr>
      <t>100</t>
    </r>
    <r>
      <rPr>
        <sz val="8"/>
        <rFont val="Arial"/>
        <family val="0"/>
      </rPr>
      <t>+100</t>
    </r>
  </si>
  <si>
    <t>4351/1 DPS čp. 461</t>
  </si>
  <si>
    <r>
      <t xml:space="preserve"> =100+</t>
    </r>
    <r>
      <rPr>
        <strike/>
        <sz val="8"/>
        <rFont val="Arial"/>
        <family val="2"/>
      </rPr>
      <t>100</t>
    </r>
  </si>
  <si>
    <t>el.en.zál</t>
  </si>
  <si>
    <t>org 2 osvětl.kostela</t>
  </si>
  <si>
    <t>org 16 Noviny P 16</t>
  </si>
  <si>
    <t>6171 objekt 23</t>
  </si>
  <si>
    <t>6171 objekt 732</t>
  </si>
  <si>
    <t>6171 objekty 21</t>
  </si>
  <si>
    <r>
      <t xml:space="preserve"> =</t>
    </r>
    <r>
      <rPr>
        <strike/>
        <sz val="8"/>
        <rFont val="Arial"/>
        <family val="2"/>
      </rPr>
      <t>380</t>
    </r>
    <r>
      <rPr>
        <sz val="8"/>
        <rFont val="Arial"/>
        <family val="0"/>
      </rPr>
      <t>+530+</t>
    </r>
    <r>
      <rPr>
        <strike/>
        <sz val="8"/>
        <rFont val="Arial"/>
        <family val="2"/>
      </rPr>
      <t>150</t>
    </r>
  </si>
  <si>
    <r>
      <t xml:space="preserve"> =380+</t>
    </r>
    <r>
      <rPr>
        <strike/>
        <sz val="8"/>
        <rFont val="Arial"/>
        <family val="2"/>
      </rPr>
      <t>530+150</t>
    </r>
  </si>
  <si>
    <r>
      <t xml:space="preserve"> =</t>
    </r>
    <r>
      <rPr>
        <strike/>
        <sz val="8"/>
        <rFont val="Arial"/>
        <family val="2"/>
      </rPr>
      <t>380+530</t>
    </r>
    <r>
      <rPr>
        <sz val="8"/>
        <rFont val="Arial"/>
        <family val="0"/>
      </rPr>
      <t>+150</t>
    </r>
  </si>
  <si>
    <t>4 NZZ 153 kluz</t>
  </si>
  <si>
    <t>org 241209 vánoce</t>
  </si>
  <si>
    <t>4121 výnos DPPO za r. 2009</t>
  </si>
  <si>
    <t>2329 nahodilé (z r. 2009)</t>
  </si>
  <si>
    <t>2328 neidentifkované příjmy</t>
  </si>
  <si>
    <t>4112 dotace stát</t>
  </si>
  <si>
    <t xml:space="preserve"> =((16/8408*3024/100-257,92)+ ((22683*551,697-145,26)+                                36,145*157974,907-3,001))/1000</t>
  </si>
  <si>
    <t xml:space="preserve"> =2008/*(14000*3/4*110%-11550*0-550)</t>
  </si>
  <si>
    <t>Schválený rozpočet 2010</t>
  </si>
  <si>
    <t>úprava rozpočtu</t>
  </si>
  <si>
    <t>vlastní úpravy MČ</t>
  </si>
  <si>
    <t>upravený rozpočet</t>
  </si>
  <si>
    <t>ZMČ 24.3.2010</t>
  </si>
  <si>
    <t>ZMČ 16.12.2009</t>
  </si>
  <si>
    <t>výkon agendy SPOD</t>
  </si>
  <si>
    <t>výkon agendy soc.sl</t>
  </si>
  <si>
    <t>stát:</t>
  </si>
  <si>
    <t>HMP:</t>
  </si>
  <si>
    <t>provoz Sběrn.dvora</t>
  </si>
  <si>
    <t>Grant soc.péče</t>
  </si>
  <si>
    <t>knižní fond</t>
  </si>
  <si>
    <t>prevence protidrog SO P 16</t>
  </si>
  <si>
    <t>prevence protidrog ZŠ</t>
  </si>
  <si>
    <t>02   MĚSTSKÁ  INFRASTRUKTURA</t>
  </si>
  <si>
    <r>
      <t xml:space="preserve">xxxx mobiliář           </t>
    </r>
    <r>
      <rPr>
        <sz val="8"/>
        <rFont val="Arial"/>
        <family val="2"/>
      </rPr>
      <t>RMČ 1188/82/2009</t>
    </r>
  </si>
  <si>
    <r>
      <t xml:space="preserve">3113 zákl.škola                   </t>
    </r>
    <r>
      <rPr>
        <sz val="8"/>
        <rFont val="Arial"/>
        <family val="2"/>
      </rPr>
      <t>+ RMČ 1264/88/2010</t>
    </r>
  </si>
  <si>
    <r>
      <t xml:space="preserve">přefakturace </t>
    </r>
    <r>
      <rPr>
        <i/>
        <sz val="7"/>
        <rFont val="Arial"/>
        <family val="2"/>
      </rPr>
      <t>na nahodilé</t>
    </r>
  </si>
  <si>
    <t>Úprava rozpočtu MČ Praha 16 na rok 2010 schválena usn. ZMČ č. XX/5/2010 dne 24. 3.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</si>
</sst>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5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0"/>
    </font>
    <font>
      <b/>
      <i/>
      <sz val="7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2" fillId="2" borderId="0" xfId="0" applyFont="1" applyFill="1" applyAlignment="1">
      <alignment wrapText="1"/>
    </xf>
    <xf numFmtId="164" fontId="4" fillId="2" borderId="0" xfId="0" applyNumberFormat="1" applyFont="1" applyFill="1" applyAlignment="1">
      <alignment/>
    </xf>
    <xf numFmtId="164" fontId="4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2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10" fontId="9" fillId="2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 wrapText="1"/>
    </xf>
    <xf numFmtId="10" fontId="11" fillId="0" borderId="0" xfId="0" applyNumberFormat="1" applyFont="1" applyFill="1" applyBorder="1" applyAlignment="1">
      <alignment wrapText="1"/>
    </xf>
    <xf numFmtId="10" fontId="10" fillId="0" borderId="0" xfId="0" applyNumberFormat="1" applyFont="1" applyBorder="1" applyAlignment="1">
      <alignment wrapText="1"/>
    </xf>
    <xf numFmtId="10" fontId="11" fillId="2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4" fontId="11" fillId="2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4" borderId="0" xfId="0" applyFont="1" applyFill="1" applyAlignment="1">
      <alignment wrapText="1"/>
    </xf>
    <xf numFmtId="164" fontId="4" fillId="4" borderId="0" xfId="0" applyNumberFormat="1" applyFont="1" applyFill="1" applyAlignment="1">
      <alignment/>
    </xf>
    <xf numFmtId="164" fontId="4" fillId="4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10" fontId="9" fillId="4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" fontId="9" fillId="2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3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5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2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 applyAlignment="1">
      <alignment/>
    </xf>
    <xf numFmtId="164" fontId="14" fillId="0" borderId="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zoomScale="85" zoomScaleNormal="85" workbookViewId="0" topLeftCell="A1">
      <pane xSplit="1" ySplit="3" topLeftCell="E8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89" sqref="P89"/>
    </sheetView>
  </sheetViews>
  <sheetFormatPr defaultColWidth="9.140625" defaultRowHeight="12.75"/>
  <cols>
    <col min="1" max="1" width="17.7109375" style="1" customWidth="1"/>
    <col min="2" max="3" width="9.28125" style="33" hidden="1" customWidth="1"/>
    <col min="4" max="4" width="9.7109375" style="33" hidden="1" customWidth="1"/>
    <col min="5" max="5" width="9.28125" style="11" bestFit="1" customWidth="1"/>
    <col min="6" max="7" width="9.28125" style="11" customWidth="1"/>
    <col min="8" max="8" width="9.28125" style="11" hidden="1" customWidth="1"/>
    <col min="9" max="9" width="9.28125" style="11" customWidth="1"/>
    <col min="10" max="10" width="26.421875" style="8" hidden="1" customWidth="1"/>
    <col min="11" max="11" width="11.8515625" style="16" hidden="1" customWidth="1"/>
    <col min="12" max="12" width="7.00390625" style="19" hidden="1" customWidth="1"/>
    <col min="13" max="13" width="16.7109375" style="24" hidden="1" customWidth="1"/>
    <col min="14" max="14" width="7.140625" style="28" hidden="1" customWidth="1"/>
    <col min="15" max="15" width="7.140625" style="54" hidden="1" customWidth="1"/>
    <col min="16" max="16" width="22.8515625" style="8" customWidth="1"/>
    <col min="17" max="18" width="0" style="33" hidden="1" customWidth="1"/>
    <col min="19" max="19" width="9.7109375" style="11" hidden="1" customWidth="1"/>
    <col min="20" max="20" width="9.140625" style="11" customWidth="1"/>
    <col min="21" max="22" width="9.28125" style="11" customWidth="1"/>
    <col min="23" max="23" width="9.28125" style="11" hidden="1" customWidth="1"/>
    <col min="24" max="24" width="9.28125" style="11" customWidth="1"/>
    <col min="25" max="25" width="28.7109375" style="7" hidden="1" customWidth="1"/>
    <col min="26" max="26" width="11.8515625" style="60" hidden="1" customWidth="1"/>
    <col min="27" max="27" width="0" style="61" hidden="1" customWidth="1"/>
    <col min="28" max="28" width="0" style="78" hidden="1" customWidth="1"/>
    <col min="29" max="29" width="9.00390625" style="78" hidden="1" customWidth="1"/>
    <col min="30" max="16384" width="9.140625" style="78" customWidth="1"/>
  </cols>
  <sheetData>
    <row r="1" spans="2:28" ht="12.75">
      <c r="B1" s="102" t="s">
        <v>51</v>
      </c>
      <c r="C1" s="103"/>
      <c r="D1" s="103"/>
      <c r="E1" s="103"/>
      <c r="F1" s="103"/>
      <c r="G1" s="103"/>
      <c r="H1" s="103"/>
      <c r="I1" s="103"/>
      <c r="J1" s="104"/>
      <c r="K1" s="104"/>
      <c r="L1" s="104"/>
      <c r="M1" s="104"/>
      <c r="N1" s="104"/>
      <c r="O1" s="104"/>
      <c r="Q1" s="14" t="s">
        <v>52</v>
      </c>
      <c r="R1" s="14"/>
      <c r="S1" s="14"/>
      <c r="T1" s="102" t="s">
        <v>52</v>
      </c>
      <c r="U1" s="104"/>
      <c r="V1" s="104"/>
      <c r="W1" s="104"/>
      <c r="X1" s="104"/>
      <c r="Y1" s="104"/>
      <c r="Z1" s="104"/>
      <c r="AA1" s="104"/>
      <c r="AB1" s="77"/>
    </row>
    <row r="2" spans="2:28" ht="22.5">
      <c r="B2" s="14"/>
      <c r="C2" s="15"/>
      <c r="D2" s="15"/>
      <c r="E2" s="62" t="s">
        <v>114</v>
      </c>
      <c r="F2" s="103" t="s">
        <v>113</v>
      </c>
      <c r="G2" s="103"/>
      <c r="H2" s="103"/>
      <c r="I2" s="103"/>
      <c r="J2" s="77"/>
      <c r="K2" s="77"/>
      <c r="L2" s="77"/>
      <c r="M2" s="77"/>
      <c r="N2" s="77"/>
      <c r="O2" s="77"/>
      <c r="Q2" s="14"/>
      <c r="R2" s="14"/>
      <c r="S2" s="14"/>
      <c r="T2" s="62" t="s">
        <v>114</v>
      </c>
      <c r="U2" s="103" t="s">
        <v>113</v>
      </c>
      <c r="V2" s="103"/>
      <c r="W2" s="103"/>
      <c r="X2" s="103"/>
      <c r="Y2" s="77"/>
      <c r="Z2" s="77"/>
      <c r="AA2" s="77"/>
      <c r="AB2" s="77"/>
    </row>
    <row r="3" spans="2:30" s="39" customFormat="1" ht="36">
      <c r="B3" s="40" t="s">
        <v>0</v>
      </c>
      <c r="C3" s="40" t="s">
        <v>1</v>
      </c>
      <c r="D3" s="40" t="s">
        <v>2</v>
      </c>
      <c r="E3" s="41" t="s">
        <v>109</v>
      </c>
      <c r="F3" s="79" t="s">
        <v>110</v>
      </c>
      <c r="G3" s="79" t="s">
        <v>111</v>
      </c>
      <c r="H3" s="41"/>
      <c r="I3" s="65" t="s">
        <v>112</v>
      </c>
      <c r="J3" s="42"/>
      <c r="K3" s="100" t="s">
        <v>79</v>
      </c>
      <c r="L3" s="101"/>
      <c r="M3" s="43"/>
      <c r="N3" s="44"/>
      <c r="O3" s="53"/>
      <c r="P3" s="42"/>
      <c r="Q3" s="41" t="s">
        <v>0</v>
      </c>
      <c r="R3" s="41" t="s">
        <v>1</v>
      </c>
      <c r="S3" s="41" t="s">
        <v>2</v>
      </c>
      <c r="T3" s="41" t="s">
        <v>109</v>
      </c>
      <c r="U3" s="79" t="s">
        <v>110</v>
      </c>
      <c r="V3" s="79" t="s">
        <v>111</v>
      </c>
      <c r="W3" s="41"/>
      <c r="X3" s="65" t="s">
        <v>112</v>
      </c>
      <c r="Y3" s="45"/>
      <c r="Z3" s="100" t="s">
        <v>79</v>
      </c>
      <c r="AA3" s="101"/>
      <c r="AB3" s="66"/>
      <c r="AC3" s="66"/>
      <c r="AD3" s="66"/>
    </row>
    <row r="4" spans="1:27" s="38" customFormat="1" ht="12.75">
      <c r="A4" s="1" t="s">
        <v>3</v>
      </c>
      <c r="B4" s="33"/>
      <c r="C4" s="33">
        <v>18</v>
      </c>
      <c r="D4" s="33">
        <v>17.7</v>
      </c>
      <c r="E4" s="11">
        <v>20</v>
      </c>
      <c r="F4" s="11"/>
      <c r="G4" s="11"/>
      <c r="H4" s="11"/>
      <c r="I4" s="11">
        <f>SUM(E4:H4)</f>
        <v>20</v>
      </c>
      <c r="J4" s="8"/>
      <c r="K4" s="16"/>
      <c r="L4" s="19">
        <f>K4/(E4*1000)</f>
        <v>0</v>
      </c>
      <c r="M4" s="24"/>
      <c r="N4" s="28"/>
      <c r="O4" s="54"/>
      <c r="P4" s="8"/>
      <c r="Q4" s="33"/>
      <c r="R4" s="33"/>
      <c r="S4" s="11"/>
      <c r="T4" s="11"/>
      <c r="U4" s="11"/>
      <c r="V4" s="11"/>
      <c r="W4" s="11"/>
      <c r="X4" s="11">
        <f>SUM(T4:W4)</f>
        <v>0</v>
      </c>
      <c r="Y4" s="7"/>
      <c r="Z4" s="16"/>
      <c r="AA4" s="23" t="e">
        <f>Z4/(T4*1000)</f>
        <v>#DIV/0!</v>
      </c>
    </row>
    <row r="5" spans="1:27" s="38" customFormat="1" ht="23.25">
      <c r="A5" s="1" t="s">
        <v>125</v>
      </c>
      <c r="B5" s="33"/>
      <c r="C5" s="33"/>
      <c r="D5" s="33"/>
      <c r="E5" s="11"/>
      <c r="F5" s="11"/>
      <c r="G5" s="11">
        <v>2000</v>
      </c>
      <c r="H5" s="11"/>
      <c r="I5" s="11">
        <f>SUM(E5:H5)</f>
        <v>2000</v>
      </c>
      <c r="J5" s="8"/>
      <c r="K5" s="16"/>
      <c r="L5" s="19"/>
      <c r="M5" s="24"/>
      <c r="N5" s="28"/>
      <c r="O5" s="54"/>
      <c r="P5" s="8"/>
      <c r="Q5" s="33"/>
      <c r="R5" s="33"/>
      <c r="S5" s="11"/>
      <c r="T5" s="11"/>
      <c r="U5" s="11"/>
      <c r="V5" s="11"/>
      <c r="W5" s="11"/>
      <c r="X5" s="11"/>
      <c r="Y5" s="7"/>
      <c r="Z5" s="16"/>
      <c r="AA5" s="23"/>
    </row>
    <row r="6" spans="1:27" s="38" customFormat="1" ht="24">
      <c r="A6" s="1" t="s">
        <v>18</v>
      </c>
      <c r="B6" s="33"/>
      <c r="C6" s="33">
        <f>41+(5+7)+9</f>
        <v>62</v>
      </c>
      <c r="D6" s="33">
        <f>40.8+(5.2*0+12.4)+8.8</f>
        <v>62</v>
      </c>
      <c r="E6" s="11"/>
      <c r="F6" s="11"/>
      <c r="G6" s="11"/>
      <c r="H6" s="11"/>
      <c r="I6" s="11"/>
      <c r="J6" s="8"/>
      <c r="K6" s="16"/>
      <c r="L6" s="19"/>
      <c r="M6" s="24"/>
      <c r="N6" s="28"/>
      <c r="O6" s="54"/>
      <c r="P6" s="8"/>
      <c r="Q6" s="33"/>
      <c r="R6" s="33"/>
      <c r="S6" s="11"/>
      <c r="T6" s="11"/>
      <c r="U6" s="11"/>
      <c r="V6" s="11"/>
      <c r="W6" s="11"/>
      <c r="X6" s="11"/>
      <c r="Y6" s="7"/>
      <c r="Z6" s="16"/>
      <c r="AA6" s="23"/>
    </row>
    <row r="7" spans="1:27" s="38" customFormat="1" ht="24">
      <c r="A7" s="2" t="s">
        <v>124</v>
      </c>
      <c r="B7" s="3">
        <f aca="true" t="shared" si="0" ref="B7:G7">SUM(B4:B6)</f>
        <v>0</v>
      </c>
      <c r="C7" s="3">
        <f t="shared" si="0"/>
        <v>80</v>
      </c>
      <c r="D7" s="3">
        <f t="shared" si="0"/>
        <v>79.7</v>
      </c>
      <c r="E7" s="10">
        <f t="shared" si="0"/>
        <v>20</v>
      </c>
      <c r="F7" s="10">
        <f t="shared" si="0"/>
        <v>0</v>
      </c>
      <c r="G7" s="10">
        <f t="shared" si="0"/>
        <v>2000</v>
      </c>
      <c r="H7" s="10"/>
      <c r="I7" s="10">
        <f>SUM(I4:I6)</f>
        <v>2020</v>
      </c>
      <c r="J7" s="8"/>
      <c r="K7" s="17">
        <f>SUM(K4:K6)</f>
        <v>0</v>
      </c>
      <c r="L7" s="20">
        <f aca="true" t="shared" si="1" ref="L7:L13">K7/(E7*1000)</f>
        <v>0</v>
      </c>
      <c r="M7" s="25"/>
      <c r="N7" s="29"/>
      <c r="O7" s="55"/>
      <c r="P7" s="8"/>
      <c r="Q7" s="3">
        <f aca="true" t="shared" si="2" ref="Q7:V7">SUM(Q4:Q6)</f>
        <v>0</v>
      </c>
      <c r="R7" s="3">
        <f t="shared" si="2"/>
        <v>0</v>
      </c>
      <c r="S7" s="10">
        <f t="shared" si="2"/>
        <v>0</v>
      </c>
      <c r="T7" s="10">
        <f t="shared" si="2"/>
        <v>0</v>
      </c>
      <c r="U7" s="10">
        <f t="shared" si="2"/>
        <v>0</v>
      </c>
      <c r="V7" s="10">
        <f t="shared" si="2"/>
        <v>0</v>
      </c>
      <c r="W7" s="10"/>
      <c r="X7" s="10">
        <f>SUM(X4:X6)</f>
        <v>0</v>
      </c>
      <c r="Y7" s="7"/>
      <c r="Z7" s="17">
        <f>SUM(Z4:Z6)</f>
        <v>0</v>
      </c>
      <c r="AA7" s="20" t="e">
        <f>Z7/(T7*1000)</f>
        <v>#DIV/0!</v>
      </c>
    </row>
    <row r="8" spans="1:24" ht="12.75">
      <c r="A8" s="1" t="s">
        <v>73</v>
      </c>
      <c r="B8" s="33">
        <f>480+20</f>
        <v>500</v>
      </c>
      <c r="C8" s="33">
        <f>426+93</f>
        <v>519</v>
      </c>
      <c r="D8" s="33">
        <f>(383.3+42.5)+93.5</f>
        <v>519.3</v>
      </c>
      <c r="E8" s="11">
        <f>500+100*0</f>
        <v>500</v>
      </c>
      <c r="I8" s="11">
        <f>SUM(E8:H8)</f>
        <v>500</v>
      </c>
      <c r="J8" s="9" t="s">
        <v>74</v>
      </c>
      <c r="K8" s="16">
        <v>95262.38</v>
      </c>
      <c r="L8" s="19">
        <f t="shared" si="1"/>
        <v>0.19052476000000002</v>
      </c>
      <c r="M8" s="24" t="s">
        <v>77</v>
      </c>
      <c r="N8" s="28">
        <f>K8-79268.28</f>
        <v>15994.100000000006</v>
      </c>
      <c r="P8" s="9"/>
      <c r="X8" s="11">
        <f>SUM(T8:W8)</f>
        <v>0</v>
      </c>
    </row>
    <row r="9" spans="1:24" ht="12.75">
      <c r="A9" s="1" t="s">
        <v>72</v>
      </c>
      <c r="E9" s="11">
        <f>500*0+100</f>
        <v>100</v>
      </c>
      <c r="I9" s="11">
        <f>SUM(E9:H9)</f>
        <v>100</v>
      </c>
      <c r="J9" s="9" t="s">
        <v>75</v>
      </c>
      <c r="K9" s="16">
        <f>2653+473</f>
        <v>3126</v>
      </c>
      <c r="L9" s="19">
        <f t="shared" si="1"/>
        <v>0.03126</v>
      </c>
      <c r="M9" s="24" t="s">
        <v>76</v>
      </c>
      <c r="P9" s="9"/>
      <c r="X9" s="11">
        <f>SUM(T9:W9)</f>
        <v>0</v>
      </c>
    </row>
    <row r="10" spans="1:24" ht="12.75">
      <c r="A10" s="1" t="s">
        <v>4</v>
      </c>
      <c r="C10" s="33">
        <v>90</v>
      </c>
      <c r="D10" s="33">
        <f>89.7</f>
        <v>89.7</v>
      </c>
      <c r="E10" s="11">
        <v>90</v>
      </c>
      <c r="I10" s="11">
        <f>SUM(E10:H10)</f>
        <v>90</v>
      </c>
      <c r="L10" s="19">
        <f t="shared" si="1"/>
        <v>0</v>
      </c>
      <c r="X10" s="11">
        <f>SUM(T10:W10)</f>
        <v>0</v>
      </c>
    </row>
    <row r="11" spans="1:27" s="38" customFormat="1" ht="24">
      <c r="A11" s="2" t="s">
        <v>17</v>
      </c>
      <c r="B11" s="3">
        <f aca="true" t="shared" si="3" ref="B11:G11">SUM(B8:B10)</f>
        <v>500</v>
      </c>
      <c r="C11" s="3">
        <f t="shared" si="3"/>
        <v>609</v>
      </c>
      <c r="D11" s="3">
        <f t="shared" si="3"/>
        <v>609</v>
      </c>
      <c r="E11" s="10">
        <f t="shared" si="3"/>
        <v>690</v>
      </c>
      <c r="F11" s="10">
        <f t="shared" si="3"/>
        <v>0</v>
      </c>
      <c r="G11" s="10">
        <f t="shared" si="3"/>
        <v>0</v>
      </c>
      <c r="H11" s="10"/>
      <c r="I11" s="10">
        <f>SUM(I8:I10)</f>
        <v>690</v>
      </c>
      <c r="J11" s="8"/>
      <c r="K11" s="17">
        <f>SUM(K8:K10)</f>
        <v>98388.38</v>
      </c>
      <c r="L11" s="20">
        <f t="shared" si="1"/>
        <v>0.14259185507246377</v>
      </c>
      <c r="M11" s="25"/>
      <c r="N11" s="29"/>
      <c r="O11" s="55">
        <f>K11-98388.38</f>
        <v>0</v>
      </c>
      <c r="P11" s="8"/>
      <c r="Q11" s="3">
        <f aca="true" t="shared" si="4" ref="Q11:V11">SUM(Q8:Q10)</f>
        <v>0</v>
      </c>
      <c r="R11" s="3">
        <f t="shared" si="4"/>
        <v>0</v>
      </c>
      <c r="S11" s="10">
        <f t="shared" si="4"/>
        <v>0</v>
      </c>
      <c r="T11" s="10">
        <f t="shared" si="4"/>
        <v>0</v>
      </c>
      <c r="U11" s="10">
        <f t="shared" si="4"/>
        <v>0</v>
      </c>
      <c r="V11" s="10">
        <f t="shared" si="4"/>
        <v>0</v>
      </c>
      <c r="W11" s="10"/>
      <c r="X11" s="10">
        <f>SUM(X8:X10)</f>
        <v>0</v>
      </c>
      <c r="Y11" s="7"/>
      <c r="Z11" s="17">
        <f>SUM(Z8:Z10)</f>
        <v>0</v>
      </c>
      <c r="AA11" s="20" t="e">
        <f>Z11/(T11*1000)</f>
        <v>#DIV/0!</v>
      </c>
    </row>
    <row r="12" spans="1:27" s="38" customFormat="1" ht="12.75">
      <c r="A12" s="1" t="s">
        <v>5</v>
      </c>
      <c r="B12" s="33">
        <v>1500</v>
      </c>
      <c r="C12" s="33">
        <v>1523</v>
      </c>
      <c r="D12" s="33">
        <v>1523.4</v>
      </c>
      <c r="E12" s="34">
        <f>1505*1.05-0.25</f>
        <v>1580</v>
      </c>
      <c r="F12" s="34"/>
      <c r="G12" s="34"/>
      <c r="H12" s="34"/>
      <c r="I12" s="13">
        <f>SUM(E12:H12)</f>
        <v>1580</v>
      </c>
      <c r="J12" s="80" t="s">
        <v>38</v>
      </c>
      <c r="K12" s="36"/>
      <c r="L12" s="19">
        <f t="shared" si="1"/>
        <v>0</v>
      </c>
      <c r="M12" s="24"/>
      <c r="N12" s="28"/>
      <c r="O12" s="54"/>
      <c r="P12" s="9" t="s">
        <v>53</v>
      </c>
      <c r="Q12" s="33">
        <v>343</v>
      </c>
      <c r="R12" s="33">
        <v>348</v>
      </c>
      <c r="S12" s="11">
        <v>348</v>
      </c>
      <c r="T12" s="34">
        <f>250*1397/1000+0.75</f>
        <v>350</v>
      </c>
      <c r="U12" s="34"/>
      <c r="V12" s="34"/>
      <c r="W12" s="34"/>
      <c r="X12" s="13">
        <f>SUM(T12:W12)</f>
        <v>350</v>
      </c>
      <c r="Y12" s="37" t="s">
        <v>58</v>
      </c>
      <c r="Z12" s="60">
        <f>T12*1000/12-166.666667</f>
        <v>28999.999999666667</v>
      </c>
      <c r="AA12" s="23">
        <f>Z12/(T12*1000)</f>
        <v>0.08285714285619047</v>
      </c>
    </row>
    <row r="13" spans="1:27" s="38" customFormat="1" ht="23.25">
      <c r="A13" s="1" t="s">
        <v>126</v>
      </c>
      <c r="B13" s="33">
        <v>3085</v>
      </c>
      <c r="C13" s="33">
        <v>3318</v>
      </c>
      <c r="D13" s="33">
        <v>3317.6</v>
      </c>
      <c r="E13" s="34">
        <f>3096*1.05-0.8+500</f>
        <v>3750</v>
      </c>
      <c r="F13" s="34"/>
      <c r="G13" s="13">
        <f>3/3*80</f>
        <v>80</v>
      </c>
      <c r="H13" s="34"/>
      <c r="I13" s="13">
        <f aca="true" t="shared" si="5" ref="I13:I37">SUM(E13:H13)</f>
        <v>3830</v>
      </c>
      <c r="J13" s="35" t="s">
        <v>70</v>
      </c>
      <c r="K13" s="36"/>
      <c r="L13" s="19">
        <f t="shared" si="1"/>
        <v>0</v>
      </c>
      <c r="M13" s="24"/>
      <c r="N13" s="28"/>
      <c r="O13" s="54"/>
      <c r="P13" s="9" t="s">
        <v>53</v>
      </c>
      <c r="Q13" s="33">
        <v>733</v>
      </c>
      <c r="R13" s="33">
        <v>744</v>
      </c>
      <c r="S13" s="11">
        <v>744</v>
      </c>
      <c r="T13" s="34">
        <f>537*1397/1000-0.189</f>
        <v>750</v>
      </c>
      <c r="U13" s="34"/>
      <c r="V13" s="34"/>
      <c r="W13" s="34"/>
      <c r="X13" s="13">
        <f aca="true" t="shared" si="6" ref="X13:X18">SUM(T13:W13)</f>
        <v>750</v>
      </c>
      <c r="Y13" s="37" t="s">
        <v>59</v>
      </c>
      <c r="Z13" s="60">
        <f>T13*1000/12+500</f>
        <v>63000</v>
      </c>
      <c r="AA13" s="23">
        <f>Z13/(T13*1000)</f>
        <v>0.084</v>
      </c>
    </row>
    <row r="14" spans="1:25" ht="12.75">
      <c r="A14" s="32" t="s">
        <v>78</v>
      </c>
      <c r="E14" s="34"/>
      <c r="F14" s="34"/>
      <c r="G14" s="34"/>
      <c r="H14" s="34"/>
      <c r="I14" s="13">
        <f t="shared" si="5"/>
        <v>0</v>
      </c>
      <c r="J14" s="35"/>
      <c r="K14" s="36">
        <v>127837.17</v>
      </c>
      <c r="M14" s="24" t="s">
        <v>127</v>
      </c>
      <c r="P14" s="9"/>
      <c r="T14" s="34"/>
      <c r="U14" s="34"/>
      <c r="V14" s="34"/>
      <c r="W14" s="34"/>
      <c r="X14" s="13">
        <f t="shared" si="6"/>
        <v>0</v>
      </c>
      <c r="Y14" s="37"/>
    </row>
    <row r="15" spans="1:24" ht="12.75">
      <c r="A15" s="1" t="s">
        <v>6</v>
      </c>
      <c r="B15" s="33">
        <v>1000</v>
      </c>
      <c r="C15" s="33">
        <v>1165</v>
      </c>
      <c r="D15" s="33">
        <v>1165.9</v>
      </c>
      <c r="E15" s="34">
        <f>1000*1.05</f>
        <v>1050</v>
      </c>
      <c r="F15" s="34"/>
      <c r="G15" s="34"/>
      <c r="H15" s="34"/>
      <c r="I15" s="13">
        <f t="shared" si="5"/>
        <v>1050</v>
      </c>
      <c r="J15" s="35" t="s">
        <v>39</v>
      </c>
      <c r="K15" s="36"/>
      <c r="L15" s="19">
        <f>K15/(E15*1000)</f>
        <v>0</v>
      </c>
      <c r="P15" s="35"/>
      <c r="Q15" s="81"/>
      <c r="R15" s="81"/>
      <c r="S15" s="82"/>
      <c r="T15" s="82"/>
      <c r="U15" s="34"/>
      <c r="V15" s="34"/>
      <c r="W15" s="34"/>
      <c r="X15" s="13">
        <f t="shared" si="6"/>
        <v>0</v>
      </c>
    </row>
    <row r="16" spans="1:24" ht="12.75">
      <c r="A16" s="32" t="s">
        <v>81</v>
      </c>
      <c r="E16" s="34"/>
      <c r="F16" s="34"/>
      <c r="G16" s="34"/>
      <c r="H16" s="34"/>
      <c r="I16" s="13">
        <f t="shared" si="5"/>
        <v>0</v>
      </c>
      <c r="J16" s="35"/>
      <c r="K16" s="36">
        <v>-6202.27</v>
      </c>
      <c r="M16" s="24" t="s">
        <v>127</v>
      </c>
      <c r="P16" s="35"/>
      <c r="Q16" s="81"/>
      <c r="R16" s="81"/>
      <c r="S16" s="82"/>
      <c r="T16" s="82"/>
      <c r="U16" s="34"/>
      <c r="V16" s="34"/>
      <c r="W16" s="34"/>
      <c r="X16" s="13">
        <f t="shared" si="6"/>
        <v>0</v>
      </c>
    </row>
    <row r="17" spans="1:24" ht="12.75">
      <c r="A17" s="1" t="s">
        <v>80</v>
      </c>
      <c r="E17" s="34"/>
      <c r="F17" s="34"/>
      <c r="G17" s="34"/>
      <c r="H17" s="34"/>
      <c r="I17" s="13">
        <f t="shared" si="5"/>
        <v>0</v>
      </c>
      <c r="J17" s="35"/>
      <c r="K17" s="36">
        <v>-8499.23</v>
      </c>
      <c r="M17" s="24" t="s">
        <v>127</v>
      </c>
      <c r="P17" s="35"/>
      <c r="Q17" s="81"/>
      <c r="R17" s="81"/>
      <c r="S17" s="82"/>
      <c r="T17" s="82"/>
      <c r="U17" s="34"/>
      <c r="V17" s="34"/>
      <c r="W17" s="34"/>
      <c r="X17" s="13">
        <f t="shared" si="6"/>
        <v>0</v>
      </c>
    </row>
    <row r="18" spans="1:24" ht="12.75">
      <c r="A18" s="1" t="s">
        <v>7</v>
      </c>
      <c r="C18" s="33">
        <v>140</v>
      </c>
      <c r="D18" s="33">
        <v>140</v>
      </c>
      <c r="I18" s="11">
        <f t="shared" si="5"/>
        <v>0</v>
      </c>
      <c r="X18" s="11">
        <f t="shared" si="6"/>
        <v>0</v>
      </c>
    </row>
    <row r="19" spans="1:27" s="38" customFormat="1" ht="24">
      <c r="A19" s="2" t="s">
        <v>16</v>
      </c>
      <c r="B19" s="3">
        <f aca="true" t="shared" si="7" ref="B19:G19">SUM(B12:B18)</f>
        <v>5585</v>
      </c>
      <c r="C19" s="3">
        <f t="shared" si="7"/>
        <v>6146</v>
      </c>
      <c r="D19" s="3">
        <f t="shared" si="7"/>
        <v>6146.9</v>
      </c>
      <c r="E19" s="10">
        <f t="shared" si="7"/>
        <v>6380</v>
      </c>
      <c r="F19" s="10">
        <f t="shared" si="7"/>
        <v>0</v>
      </c>
      <c r="G19" s="10">
        <f t="shared" si="7"/>
        <v>80</v>
      </c>
      <c r="H19" s="10"/>
      <c r="I19" s="10">
        <f>SUM(I12:I18)</f>
        <v>6460</v>
      </c>
      <c r="J19" s="8"/>
      <c r="K19" s="17">
        <f>SUM(K12:K18)</f>
        <v>113135.67</v>
      </c>
      <c r="L19" s="20">
        <f aca="true" t="shared" si="8" ref="L19:L25">K19/(E19*1000)</f>
        <v>0.017732863636363637</v>
      </c>
      <c r="M19" s="25"/>
      <c r="N19" s="29"/>
      <c r="O19" s="55">
        <f>K19-113135.67</f>
        <v>0</v>
      </c>
      <c r="P19" s="8"/>
      <c r="Q19" s="3">
        <f aca="true" t="shared" si="9" ref="Q19:V19">SUM(Q12:Q18)</f>
        <v>1076</v>
      </c>
      <c r="R19" s="3">
        <f t="shared" si="9"/>
        <v>1092</v>
      </c>
      <c r="S19" s="10">
        <f t="shared" si="9"/>
        <v>1092</v>
      </c>
      <c r="T19" s="10">
        <f t="shared" si="9"/>
        <v>1100</v>
      </c>
      <c r="U19" s="10">
        <f t="shared" si="9"/>
        <v>0</v>
      </c>
      <c r="V19" s="10">
        <f t="shared" si="9"/>
        <v>0</v>
      </c>
      <c r="W19" s="10"/>
      <c r="X19" s="10">
        <f>SUM(X12:X18)</f>
        <v>1100</v>
      </c>
      <c r="Y19" s="7"/>
      <c r="Z19" s="17">
        <f>SUM(Z12:Z18)</f>
        <v>91999.99999966667</v>
      </c>
      <c r="AA19" s="20">
        <f>Z19/(T19*1000)</f>
        <v>0.08363636363606061</v>
      </c>
    </row>
    <row r="20" spans="1:24" ht="12.75">
      <c r="A20" s="1" t="s">
        <v>90</v>
      </c>
      <c r="B20" s="33">
        <f>120+100</f>
        <v>220</v>
      </c>
      <c r="C20" s="83">
        <f>120+100+(254+577)</f>
        <v>1051</v>
      </c>
      <c r="D20" s="33">
        <f>373.6+677.1</f>
        <v>1050.7</v>
      </c>
      <c r="E20" s="11">
        <f>100+100*0</f>
        <v>100</v>
      </c>
      <c r="I20" s="11">
        <f t="shared" si="5"/>
        <v>100</v>
      </c>
      <c r="J20" s="9" t="s">
        <v>91</v>
      </c>
      <c r="K20" s="16">
        <v>6857.87</v>
      </c>
      <c r="L20" s="19">
        <f t="shared" si="8"/>
        <v>0.06857869999999999</v>
      </c>
      <c r="P20" s="9"/>
      <c r="X20" s="11">
        <f aca="true" t="shared" si="10" ref="X20:X27">SUM(T20:W20)</f>
        <v>0</v>
      </c>
    </row>
    <row r="21" spans="1:24" ht="24">
      <c r="A21" s="1" t="s">
        <v>88</v>
      </c>
      <c r="B21" s="33">
        <f>120+100</f>
        <v>220</v>
      </c>
      <c r="C21" s="83">
        <f>120+100+(254+577)</f>
        <v>1051</v>
      </c>
      <c r="D21" s="33">
        <f>373.6+677.1</f>
        <v>1050.7</v>
      </c>
      <c r="E21" s="11">
        <f>100*0+100</f>
        <v>100</v>
      </c>
      <c r="I21" s="11">
        <f t="shared" si="5"/>
        <v>100</v>
      </c>
      <c r="J21" s="9" t="s">
        <v>89</v>
      </c>
      <c r="K21" s="16">
        <v>6979.35</v>
      </c>
      <c r="L21" s="19">
        <f t="shared" si="8"/>
        <v>0.06979350000000001</v>
      </c>
      <c r="P21" s="9"/>
      <c r="X21" s="11">
        <f t="shared" si="10"/>
        <v>0</v>
      </c>
    </row>
    <row r="22" spans="1:27" s="87" customFormat="1" ht="12.75">
      <c r="A22" s="67" t="s">
        <v>8</v>
      </c>
      <c r="B22" s="84">
        <v>350</v>
      </c>
      <c r="C22" s="84">
        <v>350</v>
      </c>
      <c r="D22" s="84">
        <v>351.2</v>
      </c>
      <c r="E22" s="34">
        <f>12*121*(12*20)/1000+1.52</f>
        <v>350</v>
      </c>
      <c r="F22" s="34"/>
      <c r="G22" s="34"/>
      <c r="H22" s="34"/>
      <c r="I22" s="75">
        <f t="shared" si="5"/>
        <v>350</v>
      </c>
      <c r="J22" s="35" t="s">
        <v>40</v>
      </c>
      <c r="K22" s="36">
        <f>23316/12-1943+1943*12</f>
        <v>23316</v>
      </c>
      <c r="L22" s="19">
        <f t="shared" si="8"/>
        <v>0.06661714285714286</v>
      </c>
      <c r="M22" s="24"/>
      <c r="N22" s="28"/>
      <c r="O22" s="54"/>
      <c r="P22" s="35"/>
      <c r="Q22" s="85"/>
      <c r="R22" s="85"/>
      <c r="S22" s="86"/>
      <c r="T22" s="86"/>
      <c r="U22" s="34"/>
      <c r="V22" s="34"/>
      <c r="W22" s="34"/>
      <c r="X22" s="75">
        <f t="shared" si="10"/>
        <v>0</v>
      </c>
      <c r="Y22" s="8"/>
      <c r="Z22" s="68"/>
      <c r="AA22" s="69"/>
    </row>
    <row r="23" spans="1:27" s="88" customFormat="1" ht="12.75">
      <c r="A23" s="67" t="s">
        <v>9</v>
      </c>
      <c r="B23" s="84">
        <v>2330</v>
      </c>
      <c r="C23" s="84">
        <f>2410-301</f>
        <v>2109</v>
      </c>
      <c r="D23" s="84">
        <v>1697.6</v>
      </c>
      <c r="E23" s="34">
        <f>2330-1432+1548</f>
        <v>2446</v>
      </c>
      <c r="F23" s="34"/>
      <c r="G23" s="34"/>
      <c r="H23" s="34"/>
      <c r="I23" s="75">
        <f t="shared" si="5"/>
        <v>2446</v>
      </c>
      <c r="J23" s="35" t="s">
        <v>41</v>
      </c>
      <c r="K23" s="36">
        <f>26404.65+9021/9021*599.55+43512/43512*36</f>
        <v>27040.2</v>
      </c>
      <c r="L23" s="19">
        <f t="shared" si="8"/>
        <v>0.011054865085854456</v>
      </c>
      <c r="M23" s="24"/>
      <c r="N23" s="28"/>
      <c r="O23" s="54"/>
      <c r="P23" s="35"/>
      <c r="Q23" s="85">
        <v>480</v>
      </c>
      <c r="R23" s="85">
        <v>480</v>
      </c>
      <c r="S23" s="86">
        <v>480</v>
      </c>
      <c r="T23" s="34">
        <f>480*1.05-4</f>
        <v>500</v>
      </c>
      <c r="U23" s="34"/>
      <c r="V23" s="34"/>
      <c r="W23" s="34"/>
      <c r="X23" s="75">
        <f t="shared" si="10"/>
        <v>500</v>
      </c>
      <c r="Y23" s="36" t="s">
        <v>60</v>
      </c>
      <c r="Z23" s="68">
        <v>34775</v>
      </c>
      <c r="AA23" s="23">
        <f>Z23/(T23*1000)</f>
        <v>0.06955</v>
      </c>
    </row>
    <row r="24" spans="1:27" s="87" customFormat="1" ht="12.75">
      <c r="A24" s="67" t="s">
        <v>10</v>
      </c>
      <c r="B24" s="84"/>
      <c r="C24" s="84">
        <v>63</v>
      </c>
      <c r="D24" s="84">
        <v>62.6</v>
      </c>
      <c r="E24" s="12">
        <v>50</v>
      </c>
      <c r="F24" s="12"/>
      <c r="G24" s="12"/>
      <c r="H24" s="12"/>
      <c r="I24" s="12">
        <f t="shared" si="5"/>
        <v>50</v>
      </c>
      <c r="J24" s="8"/>
      <c r="K24" s="16">
        <v>3712</v>
      </c>
      <c r="L24" s="19">
        <f t="shared" si="8"/>
        <v>0.07424</v>
      </c>
      <c r="M24" s="24"/>
      <c r="N24" s="28"/>
      <c r="O24" s="54"/>
      <c r="P24" s="8"/>
      <c r="Q24" s="84"/>
      <c r="R24" s="84"/>
      <c r="S24" s="12"/>
      <c r="T24" s="12"/>
      <c r="U24" s="12"/>
      <c r="V24" s="12"/>
      <c r="W24" s="12"/>
      <c r="X24" s="12">
        <f t="shared" si="10"/>
        <v>0</v>
      </c>
      <c r="Y24" s="8"/>
      <c r="Z24" s="68">
        <f>-69+1873</f>
        <v>1804</v>
      </c>
      <c r="AA24" s="69"/>
    </row>
    <row r="25" spans="1:27" s="87" customFormat="1" ht="12.75">
      <c r="A25" s="67" t="s">
        <v>11</v>
      </c>
      <c r="B25" s="84"/>
      <c r="C25" s="84">
        <f>8+34</f>
        <v>42</v>
      </c>
      <c r="D25" s="84">
        <f>7.7+33.7</f>
        <v>41.400000000000006</v>
      </c>
      <c r="E25" s="12">
        <v>30</v>
      </c>
      <c r="F25" s="12"/>
      <c r="G25" s="12"/>
      <c r="H25" s="12"/>
      <c r="I25" s="12">
        <f t="shared" si="5"/>
        <v>30</v>
      </c>
      <c r="J25" s="8"/>
      <c r="K25" s="16">
        <v>307</v>
      </c>
      <c r="L25" s="19">
        <f t="shared" si="8"/>
        <v>0.010233333333333334</v>
      </c>
      <c r="M25" s="24"/>
      <c r="N25" s="28"/>
      <c r="O25" s="54"/>
      <c r="P25" s="8"/>
      <c r="Q25" s="84"/>
      <c r="R25" s="84"/>
      <c r="S25" s="12"/>
      <c r="T25" s="12"/>
      <c r="U25" s="12"/>
      <c r="V25" s="12"/>
      <c r="W25" s="12"/>
      <c r="X25" s="12">
        <f t="shared" si="10"/>
        <v>0</v>
      </c>
      <c r="Y25" s="8"/>
      <c r="Z25" s="68"/>
      <c r="AA25" s="69"/>
    </row>
    <row r="26" spans="1:27" s="87" customFormat="1" ht="12.75">
      <c r="A26" s="67" t="s">
        <v>12</v>
      </c>
      <c r="B26" s="84"/>
      <c r="C26" s="84">
        <v>6</v>
      </c>
      <c r="D26" s="84">
        <v>5.8</v>
      </c>
      <c r="E26" s="12"/>
      <c r="F26" s="12"/>
      <c r="G26" s="12"/>
      <c r="H26" s="12"/>
      <c r="I26" s="12">
        <f t="shared" si="5"/>
        <v>0</v>
      </c>
      <c r="J26" s="8"/>
      <c r="K26" s="16"/>
      <c r="L26" s="19"/>
      <c r="M26" s="24"/>
      <c r="N26" s="28"/>
      <c r="O26" s="54"/>
      <c r="P26" s="8"/>
      <c r="Q26" s="84"/>
      <c r="R26" s="84"/>
      <c r="S26" s="12"/>
      <c r="T26" s="12"/>
      <c r="U26" s="12"/>
      <c r="V26" s="12"/>
      <c r="W26" s="12"/>
      <c r="X26" s="12">
        <f t="shared" si="10"/>
        <v>0</v>
      </c>
      <c r="Y26" s="8"/>
      <c r="Z26" s="68"/>
      <c r="AA26" s="69"/>
    </row>
    <row r="27" spans="1:27" s="87" customFormat="1" ht="12.75">
      <c r="A27" s="67" t="s">
        <v>13</v>
      </c>
      <c r="B27" s="84"/>
      <c r="C27" s="84">
        <f>157+25</f>
        <v>182</v>
      </c>
      <c r="D27" s="84">
        <f>126.9+25</f>
        <v>151.9</v>
      </c>
      <c r="E27" s="12">
        <f>100+0</f>
        <v>100</v>
      </c>
      <c r="F27" s="12"/>
      <c r="G27" s="12"/>
      <c r="H27" s="12"/>
      <c r="I27" s="12">
        <f t="shared" si="5"/>
        <v>100</v>
      </c>
      <c r="J27" s="8"/>
      <c r="K27" s="16">
        <f>2412/2412*5450</f>
        <v>5450</v>
      </c>
      <c r="L27" s="19">
        <f aca="true" t="shared" si="11" ref="L27:L32">K27/(E27*1000)</f>
        <v>0.0545</v>
      </c>
      <c r="M27" s="24"/>
      <c r="N27" s="28"/>
      <c r="O27" s="54"/>
      <c r="P27" s="8"/>
      <c r="Q27" s="84"/>
      <c r="R27" s="84"/>
      <c r="S27" s="12"/>
      <c r="T27" s="12"/>
      <c r="U27" s="12"/>
      <c r="V27" s="12"/>
      <c r="W27" s="12"/>
      <c r="X27" s="12">
        <f t="shared" si="10"/>
        <v>0</v>
      </c>
      <c r="Y27" s="8"/>
      <c r="Z27" s="68"/>
      <c r="AA27" s="69"/>
    </row>
    <row r="28" spans="1:29" s="88" customFormat="1" ht="24">
      <c r="A28" s="70" t="s">
        <v>15</v>
      </c>
      <c r="B28" s="71">
        <f aca="true" t="shared" si="12" ref="B28:G28">SUM(B20:B27)</f>
        <v>3120</v>
      </c>
      <c r="C28" s="71">
        <f t="shared" si="12"/>
        <v>4854</v>
      </c>
      <c r="D28" s="71">
        <f t="shared" si="12"/>
        <v>4411.9</v>
      </c>
      <c r="E28" s="72">
        <f t="shared" si="12"/>
        <v>3176</v>
      </c>
      <c r="F28" s="72">
        <f t="shared" si="12"/>
        <v>0</v>
      </c>
      <c r="G28" s="72">
        <f t="shared" si="12"/>
        <v>0</v>
      </c>
      <c r="H28" s="72"/>
      <c r="I28" s="72">
        <f>SUM(I20:I27)</f>
        <v>3176</v>
      </c>
      <c r="J28" s="8"/>
      <c r="K28" s="73">
        <f>SUM(K20:K27)</f>
        <v>73662.42</v>
      </c>
      <c r="L28" s="20">
        <f t="shared" si="11"/>
        <v>0.02319345717884131</v>
      </c>
      <c r="M28" s="25"/>
      <c r="N28" s="29"/>
      <c r="O28" s="55">
        <f>K28+K71+K72-1684115.42</f>
        <v>0</v>
      </c>
      <c r="P28" s="8"/>
      <c r="Q28" s="71">
        <f aca="true" t="shared" si="13" ref="Q28:V28">SUM(Q20:Q27)</f>
        <v>480</v>
      </c>
      <c r="R28" s="71">
        <f t="shared" si="13"/>
        <v>480</v>
      </c>
      <c r="S28" s="72">
        <f t="shared" si="13"/>
        <v>480</v>
      </c>
      <c r="T28" s="72">
        <f t="shared" si="13"/>
        <v>500</v>
      </c>
      <c r="U28" s="72">
        <f t="shared" si="13"/>
        <v>0</v>
      </c>
      <c r="V28" s="72">
        <f t="shared" si="13"/>
        <v>0</v>
      </c>
      <c r="W28" s="72"/>
      <c r="X28" s="72">
        <f>SUM(X20:X27)</f>
        <v>500</v>
      </c>
      <c r="Y28" s="8"/>
      <c r="Z28" s="73">
        <f>SUM(Z20:Z27)</f>
        <v>36579</v>
      </c>
      <c r="AA28" s="20">
        <f>Z28/(T28*1000)</f>
        <v>0.073158</v>
      </c>
      <c r="AC28" s="55">
        <f>Z28+Z71+Z72-2836579</f>
        <v>0</v>
      </c>
    </row>
    <row r="29" spans="1:27" s="87" customFormat="1" ht="12.75">
      <c r="A29" s="67" t="s">
        <v>19</v>
      </c>
      <c r="B29" s="84">
        <v>622</v>
      </c>
      <c r="C29" s="84">
        <v>622</v>
      </c>
      <c r="D29" s="84">
        <v>604.1</v>
      </c>
      <c r="E29" s="34">
        <f>(622*1.2+3.6-750)+622-255+493</f>
        <v>860</v>
      </c>
      <c r="F29" s="34"/>
      <c r="G29" s="34"/>
      <c r="H29" s="34"/>
      <c r="I29" s="75">
        <f t="shared" si="5"/>
        <v>860</v>
      </c>
      <c r="J29" s="35" t="s">
        <v>42</v>
      </c>
      <c r="K29" s="36">
        <v>13826.05</v>
      </c>
      <c r="L29" s="19">
        <f t="shared" si="11"/>
        <v>0.016076802325581393</v>
      </c>
      <c r="M29" s="24"/>
      <c r="N29" s="28"/>
      <c r="O29" s="54"/>
      <c r="P29" s="35"/>
      <c r="Q29" s="85"/>
      <c r="R29" s="85"/>
      <c r="S29" s="86"/>
      <c r="T29" s="86"/>
      <c r="U29" s="34"/>
      <c r="V29" s="34"/>
      <c r="W29" s="34"/>
      <c r="X29" s="75">
        <f aca="true" t="shared" si="14" ref="X29:X35">SUM(T29:W29)</f>
        <v>0</v>
      </c>
      <c r="Y29" s="8"/>
      <c r="Z29" s="68">
        <v>18101</v>
      </c>
      <c r="AA29" s="69"/>
    </row>
    <row r="30" spans="1:27" s="88" customFormat="1" ht="12.75">
      <c r="A30" s="67" t="s">
        <v>20</v>
      </c>
      <c r="B30" s="84">
        <v>1828</v>
      </c>
      <c r="C30" s="84">
        <f>1828-40</f>
        <v>1788</v>
      </c>
      <c r="D30" s="84">
        <v>1764.1</v>
      </c>
      <c r="E30" s="34">
        <f>1828-984+1021</f>
        <v>1865</v>
      </c>
      <c r="F30" s="34"/>
      <c r="G30" s="34"/>
      <c r="H30" s="34"/>
      <c r="I30" s="75">
        <f t="shared" si="5"/>
        <v>1865</v>
      </c>
      <c r="J30" s="35" t="s">
        <v>43</v>
      </c>
      <c r="K30" s="36">
        <v>55490.16</v>
      </c>
      <c r="L30" s="19">
        <f t="shared" si="11"/>
        <v>0.029753436997319038</v>
      </c>
      <c r="M30" s="24"/>
      <c r="N30" s="28"/>
      <c r="O30" s="54"/>
      <c r="P30" s="35"/>
      <c r="Q30" s="85">
        <v>130</v>
      </c>
      <c r="R30" s="85">
        <v>130</v>
      </c>
      <c r="S30" s="86">
        <v>130</v>
      </c>
      <c r="T30" s="86">
        <v>130</v>
      </c>
      <c r="U30" s="34"/>
      <c r="V30" s="34"/>
      <c r="W30" s="34"/>
      <c r="X30" s="75">
        <f t="shared" si="14"/>
        <v>130</v>
      </c>
      <c r="Y30" s="8"/>
      <c r="Z30" s="68">
        <v>16875</v>
      </c>
      <c r="AA30" s="23">
        <f>Z30/(T30*1000)</f>
        <v>0.12980769230769232</v>
      </c>
    </row>
    <row r="31" spans="1:27" s="87" customFormat="1" ht="12.75">
      <c r="A31" s="67" t="s">
        <v>21</v>
      </c>
      <c r="B31" s="84">
        <v>572</v>
      </c>
      <c r="C31" s="84">
        <f>632+560</f>
        <v>1192</v>
      </c>
      <c r="D31" s="84">
        <v>1185.9</v>
      </c>
      <c r="E31" s="34">
        <f>(572*1.2+13.6-700)+572-215+353</f>
        <v>710</v>
      </c>
      <c r="F31" s="34"/>
      <c r="G31" s="34"/>
      <c r="H31" s="34"/>
      <c r="I31" s="75">
        <f t="shared" si="5"/>
        <v>710</v>
      </c>
      <c r="J31" s="35" t="s">
        <v>44</v>
      </c>
      <c r="K31" s="36">
        <v>6628.05</v>
      </c>
      <c r="L31" s="19">
        <f t="shared" si="11"/>
        <v>0.009335281690140845</v>
      </c>
      <c r="M31" s="24"/>
      <c r="N31" s="28"/>
      <c r="O31" s="54"/>
      <c r="P31" s="35"/>
      <c r="Q31" s="85"/>
      <c r="R31" s="85"/>
      <c r="S31" s="86"/>
      <c r="T31" s="86"/>
      <c r="U31" s="34"/>
      <c r="V31" s="34"/>
      <c r="W31" s="34"/>
      <c r="X31" s="75">
        <f t="shared" si="14"/>
        <v>0</v>
      </c>
      <c r="Y31" s="8"/>
      <c r="Z31" s="68">
        <v>2200</v>
      </c>
      <c r="AA31" s="69"/>
    </row>
    <row r="32" spans="1:27" s="87" customFormat="1" ht="12.75">
      <c r="A32" s="67" t="s">
        <v>22</v>
      </c>
      <c r="B32" s="84">
        <v>28</v>
      </c>
      <c r="C32" s="84">
        <f>28+10</f>
        <v>38</v>
      </c>
      <c r="D32" s="84">
        <v>37.7</v>
      </c>
      <c r="E32" s="34">
        <f>12+16</f>
        <v>28</v>
      </c>
      <c r="F32" s="34"/>
      <c r="G32" s="34"/>
      <c r="H32" s="34"/>
      <c r="I32" s="75">
        <f t="shared" si="5"/>
        <v>28</v>
      </c>
      <c r="J32" s="35" t="s">
        <v>45</v>
      </c>
      <c r="K32" s="36"/>
      <c r="L32" s="19">
        <f t="shared" si="11"/>
        <v>0</v>
      </c>
      <c r="M32" s="24"/>
      <c r="N32" s="28"/>
      <c r="O32" s="54"/>
      <c r="P32" s="35"/>
      <c r="Q32" s="85"/>
      <c r="R32" s="85"/>
      <c r="S32" s="86"/>
      <c r="T32" s="86"/>
      <c r="U32" s="34"/>
      <c r="V32" s="34"/>
      <c r="W32" s="34"/>
      <c r="X32" s="75">
        <f t="shared" si="14"/>
        <v>0</v>
      </c>
      <c r="Y32" s="8"/>
      <c r="Z32" s="68"/>
      <c r="AA32" s="69"/>
    </row>
    <row r="33" spans="1:27" s="88" customFormat="1" ht="12.75">
      <c r="A33" s="67" t="s">
        <v>23</v>
      </c>
      <c r="B33" s="84"/>
      <c r="C33" s="84">
        <f>(13-10)+(21+19)+(0+5)+0+(0+16)</f>
        <v>64</v>
      </c>
      <c r="D33" s="84">
        <f>3+40+5+0.4+15.5</f>
        <v>63.9</v>
      </c>
      <c r="E33" s="12">
        <f>35+60+40+50+150</f>
        <v>335</v>
      </c>
      <c r="F33" s="12"/>
      <c r="G33" s="12"/>
      <c r="H33" s="12"/>
      <c r="I33" s="12">
        <f t="shared" si="5"/>
        <v>335</v>
      </c>
      <c r="J33" s="9" t="s">
        <v>46</v>
      </c>
      <c r="K33" s="16"/>
      <c r="L33" s="19">
        <f aca="true" t="shared" si="15" ref="L33:L39">K33/(E33*1000)</f>
        <v>0</v>
      </c>
      <c r="M33" s="24"/>
      <c r="N33" s="28"/>
      <c r="O33" s="54"/>
      <c r="P33" s="9"/>
      <c r="Q33" s="84">
        <v>140</v>
      </c>
      <c r="R33" s="84">
        <v>140</v>
      </c>
      <c r="S33" s="12">
        <v>140</v>
      </c>
      <c r="T33" s="12">
        <v>140</v>
      </c>
      <c r="U33" s="12"/>
      <c r="V33" s="12"/>
      <c r="W33" s="12"/>
      <c r="X33" s="12">
        <f t="shared" si="14"/>
        <v>140</v>
      </c>
      <c r="Y33" s="8"/>
      <c r="Z33" s="68"/>
      <c r="AA33" s="23">
        <f>Z33/(T33*1000)</f>
        <v>0</v>
      </c>
    </row>
    <row r="34" spans="1:27" s="87" customFormat="1" ht="12.75">
      <c r="A34" s="67" t="s">
        <v>24</v>
      </c>
      <c r="B34" s="84">
        <v>33200</v>
      </c>
      <c r="C34" s="89">
        <f>33200+(6186+(296+41)+1112/1112*153+5000)</f>
        <v>44876</v>
      </c>
      <c r="D34" s="89">
        <f>(39386.1+152.4)+(596-300)+5000</f>
        <v>44834.5</v>
      </c>
      <c r="E34" s="90"/>
      <c r="F34" s="90"/>
      <c r="G34" s="90"/>
      <c r="H34" s="90"/>
      <c r="I34" s="90">
        <f t="shared" si="5"/>
        <v>0</v>
      </c>
      <c r="J34" s="8"/>
      <c r="K34" s="16">
        <v>38070</v>
      </c>
      <c r="L34" s="19"/>
      <c r="M34" s="24" t="s">
        <v>92</v>
      </c>
      <c r="N34" s="28">
        <f>38070-K34</f>
        <v>0</v>
      </c>
      <c r="O34" s="54"/>
      <c r="P34" s="8"/>
      <c r="Q34" s="84"/>
      <c r="R34" s="84"/>
      <c r="S34" s="12"/>
      <c r="T34" s="12"/>
      <c r="U34" s="12"/>
      <c r="V34" s="12"/>
      <c r="W34" s="12"/>
      <c r="X34" s="12">
        <f t="shared" si="14"/>
        <v>0</v>
      </c>
      <c r="Y34" s="8"/>
      <c r="Z34" s="68"/>
      <c r="AA34" s="69"/>
    </row>
    <row r="35" spans="1:27" s="87" customFormat="1" ht="12.75">
      <c r="A35" s="67" t="s">
        <v>3</v>
      </c>
      <c r="B35" s="84"/>
      <c r="C35" s="84">
        <v>72</v>
      </c>
      <c r="D35" s="84">
        <f>64.9+7.1</f>
        <v>72</v>
      </c>
      <c r="E35" s="12"/>
      <c r="F35" s="12"/>
      <c r="G35" s="12"/>
      <c r="H35" s="12"/>
      <c r="I35" s="12">
        <f t="shared" si="5"/>
        <v>0</v>
      </c>
      <c r="J35" s="8"/>
      <c r="K35" s="16">
        <f>38622-K34</f>
        <v>552</v>
      </c>
      <c r="L35" s="19"/>
      <c r="M35" s="24"/>
      <c r="N35" s="28"/>
      <c r="O35" s="54"/>
      <c r="P35" s="8"/>
      <c r="Q35" s="84"/>
      <c r="R35" s="84"/>
      <c r="S35" s="12"/>
      <c r="T35" s="12"/>
      <c r="U35" s="12"/>
      <c r="V35" s="12"/>
      <c r="W35" s="12"/>
      <c r="X35" s="12">
        <f t="shared" si="14"/>
        <v>0</v>
      </c>
      <c r="Y35" s="8"/>
      <c r="Z35" s="68"/>
      <c r="AA35" s="69"/>
    </row>
    <row r="36" spans="1:29" s="88" customFormat="1" ht="24">
      <c r="A36" s="70" t="s">
        <v>14</v>
      </c>
      <c r="B36" s="71">
        <f aca="true" t="shared" si="16" ref="B36:G36">SUM(B29:B35)</f>
        <v>36250</v>
      </c>
      <c r="C36" s="71">
        <f t="shared" si="16"/>
        <v>48652</v>
      </c>
      <c r="D36" s="71">
        <f t="shared" si="16"/>
        <v>48562.2</v>
      </c>
      <c r="E36" s="72">
        <f t="shared" si="16"/>
        <v>3798</v>
      </c>
      <c r="F36" s="72">
        <f t="shared" si="16"/>
        <v>0</v>
      </c>
      <c r="G36" s="72">
        <f t="shared" si="16"/>
        <v>0</v>
      </c>
      <c r="H36" s="72"/>
      <c r="I36" s="72">
        <f>SUM(I29:I35)</f>
        <v>3798</v>
      </c>
      <c r="J36" s="8"/>
      <c r="K36" s="73">
        <f>SUM(K29:K35)</f>
        <v>114566.26000000001</v>
      </c>
      <c r="L36" s="20">
        <f t="shared" si="15"/>
        <v>0.030164892048446555</v>
      </c>
      <c r="M36" s="25"/>
      <c r="N36" s="29"/>
      <c r="O36" s="55">
        <f>K36-114566.26</f>
        <v>0</v>
      </c>
      <c r="P36" s="8"/>
      <c r="Q36" s="71">
        <f aca="true" t="shared" si="17" ref="Q36:V36">SUM(Q29:Q35)</f>
        <v>270</v>
      </c>
      <c r="R36" s="71">
        <f t="shared" si="17"/>
        <v>270</v>
      </c>
      <c r="S36" s="72">
        <f t="shared" si="17"/>
        <v>270</v>
      </c>
      <c r="T36" s="72">
        <f t="shared" si="17"/>
        <v>270</v>
      </c>
      <c r="U36" s="72">
        <f t="shared" si="17"/>
        <v>0</v>
      </c>
      <c r="V36" s="72">
        <f t="shared" si="17"/>
        <v>0</v>
      </c>
      <c r="W36" s="72"/>
      <c r="X36" s="72">
        <f>SUM(X29:X35)</f>
        <v>270</v>
      </c>
      <c r="Y36" s="8"/>
      <c r="Z36" s="73">
        <f>SUM(Z29:Z35)</f>
        <v>37176</v>
      </c>
      <c r="AA36" s="20">
        <f>Z36/(T36*1000)</f>
        <v>0.1376888888888889</v>
      </c>
      <c r="AC36" s="55">
        <f>Z36-37176</f>
        <v>0</v>
      </c>
    </row>
    <row r="37" spans="1:27" s="87" customFormat="1" ht="12.75">
      <c r="A37" s="67" t="s">
        <v>26</v>
      </c>
      <c r="B37" s="84">
        <v>350</v>
      </c>
      <c r="C37" s="84">
        <v>350</v>
      </c>
      <c r="D37" s="84">
        <f>394.3-102+55.5</f>
        <v>347.8</v>
      </c>
      <c r="E37" s="12">
        <v>350</v>
      </c>
      <c r="F37" s="12"/>
      <c r="G37" s="12"/>
      <c r="H37" s="12"/>
      <c r="I37" s="12">
        <f t="shared" si="5"/>
        <v>350</v>
      </c>
      <c r="J37" s="8"/>
      <c r="K37" s="16">
        <v>14205.05</v>
      </c>
      <c r="L37" s="19">
        <f>K37/(E37*1000)</f>
        <v>0.04058585714285714</v>
      </c>
      <c r="M37" s="24"/>
      <c r="N37" s="28"/>
      <c r="O37" s="54"/>
      <c r="P37" s="8"/>
      <c r="Q37" s="84"/>
      <c r="R37" s="84"/>
      <c r="S37" s="12"/>
      <c r="T37" s="12"/>
      <c r="U37" s="12"/>
      <c r="V37" s="12"/>
      <c r="W37" s="12"/>
      <c r="X37" s="12">
        <f>SUM(T37:W37)</f>
        <v>0</v>
      </c>
      <c r="Y37" s="8"/>
      <c r="Z37" s="68"/>
      <c r="AA37" s="69"/>
    </row>
    <row r="38" spans="1:27" s="87" customFormat="1" ht="12.75" hidden="1">
      <c r="A38" s="67"/>
      <c r="B38" s="84"/>
      <c r="C38" s="84"/>
      <c r="D38" s="84"/>
      <c r="E38" s="12"/>
      <c r="F38" s="12"/>
      <c r="G38" s="12"/>
      <c r="H38" s="12"/>
      <c r="I38" s="12"/>
      <c r="J38" s="8"/>
      <c r="K38" s="16"/>
      <c r="L38" s="19"/>
      <c r="M38" s="24"/>
      <c r="N38" s="28"/>
      <c r="O38" s="54"/>
      <c r="P38" s="8"/>
      <c r="Q38" s="84"/>
      <c r="R38" s="84"/>
      <c r="S38" s="12"/>
      <c r="T38" s="12"/>
      <c r="U38" s="12"/>
      <c r="V38" s="12"/>
      <c r="W38" s="12"/>
      <c r="X38" s="12"/>
      <c r="Y38" s="8"/>
      <c r="Z38" s="68"/>
      <c r="AA38" s="69"/>
    </row>
    <row r="39" spans="1:27" s="88" customFormat="1" ht="24">
      <c r="A39" s="70" t="s">
        <v>25</v>
      </c>
      <c r="B39" s="71">
        <f aca="true" t="shared" si="18" ref="B39:G39">SUM(B37:B38)</f>
        <v>350</v>
      </c>
      <c r="C39" s="71">
        <f t="shared" si="18"/>
        <v>350</v>
      </c>
      <c r="D39" s="71">
        <f t="shared" si="18"/>
        <v>347.8</v>
      </c>
      <c r="E39" s="72">
        <f t="shared" si="18"/>
        <v>350</v>
      </c>
      <c r="F39" s="72">
        <f t="shared" si="18"/>
        <v>0</v>
      </c>
      <c r="G39" s="72">
        <f t="shared" si="18"/>
        <v>0</v>
      </c>
      <c r="H39" s="72"/>
      <c r="I39" s="72">
        <f>SUM(I37:I38)</f>
        <v>350</v>
      </c>
      <c r="J39" s="8"/>
      <c r="K39" s="73">
        <f>SUM(K37:K38)</f>
        <v>14205.05</v>
      </c>
      <c r="L39" s="20">
        <f t="shared" si="15"/>
        <v>0.04058585714285714</v>
      </c>
      <c r="M39" s="25"/>
      <c r="N39" s="29"/>
      <c r="O39" s="55">
        <f>K39-14205.05</f>
        <v>0</v>
      </c>
      <c r="P39" s="8"/>
      <c r="Q39" s="71">
        <f aca="true" t="shared" si="19" ref="Q39:V39">SUM(Q37:Q38)</f>
        <v>0</v>
      </c>
      <c r="R39" s="71">
        <f t="shared" si="19"/>
        <v>0</v>
      </c>
      <c r="S39" s="72">
        <f t="shared" si="19"/>
        <v>0</v>
      </c>
      <c r="T39" s="72">
        <f t="shared" si="19"/>
        <v>0</v>
      </c>
      <c r="U39" s="72">
        <f t="shared" si="19"/>
        <v>0</v>
      </c>
      <c r="V39" s="72">
        <f t="shared" si="19"/>
        <v>0</v>
      </c>
      <c r="W39" s="72"/>
      <c r="X39" s="72">
        <f>SUM(X37:X38)</f>
        <v>0</v>
      </c>
      <c r="Y39" s="8"/>
      <c r="Z39" s="73">
        <f>SUM(Z37:Z38)</f>
        <v>0</v>
      </c>
      <c r="AA39" s="20" t="e">
        <f>Z39/(T39*1000)</f>
        <v>#DIV/0!</v>
      </c>
    </row>
    <row r="40" spans="1:27" s="87" customFormat="1" ht="12.75">
      <c r="A40" s="67" t="s">
        <v>28</v>
      </c>
      <c r="B40" s="84">
        <v>1000</v>
      </c>
      <c r="C40" s="84">
        <v>1000</v>
      </c>
      <c r="D40" s="84">
        <f>1000+864.6*0</f>
        <v>1000</v>
      </c>
      <c r="E40" s="12"/>
      <c r="F40" s="12"/>
      <c r="G40" s="12"/>
      <c r="H40" s="12"/>
      <c r="I40" s="12"/>
      <c r="J40" s="8"/>
      <c r="K40" s="16"/>
      <c r="L40" s="19"/>
      <c r="M40" s="24"/>
      <c r="N40" s="28"/>
      <c r="O40" s="54"/>
      <c r="P40" s="8"/>
      <c r="Q40" s="84">
        <v>1000</v>
      </c>
      <c r="R40" s="84">
        <v>1000</v>
      </c>
      <c r="S40" s="12">
        <v>1000</v>
      </c>
      <c r="T40" s="12"/>
      <c r="U40" s="12"/>
      <c r="V40" s="12"/>
      <c r="W40" s="12"/>
      <c r="X40" s="12"/>
      <c r="Y40" s="8"/>
      <c r="Z40" s="68"/>
      <c r="AA40" s="69"/>
    </row>
    <row r="41" spans="1:27" s="88" customFormat="1" ht="12.75" customHeight="1">
      <c r="A41" s="67" t="s">
        <v>29</v>
      </c>
      <c r="B41" s="84"/>
      <c r="C41" s="89">
        <f>641+(2658*0+1139+1519)*0+1139+1519</f>
        <v>3299</v>
      </c>
      <c r="D41" s="91">
        <f>640.9</f>
        <v>640.9</v>
      </c>
      <c r="E41" s="34">
        <f>1000+8000</f>
        <v>9000</v>
      </c>
      <c r="F41" s="34"/>
      <c r="G41" s="34"/>
      <c r="H41" s="34"/>
      <c r="I41" s="75">
        <f>SUM(E41:H41)</f>
        <v>9000</v>
      </c>
      <c r="J41" s="35" t="s">
        <v>47</v>
      </c>
      <c r="K41" s="36">
        <v>174274</v>
      </c>
      <c r="L41" s="19">
        <f aca="true" t="shared" si="20" ref="L41:L48">K41/(E41*1000)</f>
        <v>0.01936377777777778</v>
      </c>
      <c r="M41" s="24"/>
      <c r="N41" s="28"/>
      <c r="O41" s="54"/>
      <c r="P41" s="35"/>
      <c r="Q41" s="85"/>
      <c r="R41" s="85"/>
      <c r="S41" s="86"/>
      <c r="T41" s="34">
        <f>2008/2008*(14000*3/4*110%-11550*0-550)</f>
        <v>11000.000000000002</v>
      </c>
      <c r="U41" s="34"/>
      <c r="V41" s="34"/>
      <c r="W41" s="34"/>
      <c r="X41" s="75">
        <f>SUM(T41:W41)</f>
        <v>11000.000000000002</v>
      </c>
      <c r="Y41" s="36" t="s">
        <v>108</v>
      </c>
      <c r="Z41" s="68"/>
      <c r="AA41" s="23">
        <f>Z41/(T41*1000)</f>
        <v>0</v>
      </c>
    </row>
    <row r="42" spans="1:27" s="87" customFormat="1" ht="12.75">
      <c r="A42" s="67" t="s">
        <v>30</v>
      </c>
      <c r="B42" s="84">
        <v>6000</v>
      </c>
      <c r="C42" s="84">
        <f>6000+10</f>
        <v>6010</v>
      </c>
      <c r="D42" s="84">
        <f>6000+9.5</f>
        <v>6009.5</v>
      </c>
      <c r="E42" s="34">
        <f>6000*1.05</f>
        <v>6300</v>
      </c>
      <c r="F42" s="34"/>
      <c r="G42" s="34"/>
      <c r="H42" s="34"/>
      <c r="I42" s="75">
        <f>SUM(E42:H42)</f>
        <v>6300</v>
      </c>
      <c r="J42" s="35" t="s">
        <v>48</v>
      </c>
      <c r="K42" s="36"/>
      <c r="L42" s="19">
        <f t="shared" si="20"/>
        <v>0</v>
      </c>
      <c r="M42" s="24"/>
      <c r="N42" s="28"/>
      <c r="O42" s="54"/>
      <c r="P42" s="35"/>
      <c r="Q42" s="85"/>
      <c r="R42" s="85"/>
      <c r="S42" s="86"/>
      <c r="T42" s="86"/>
      <c r="U42" s="34"/>
      <c r="V42" s="34"/>
      <c r="W42" s="34"/>
      <c r="X42" s="75">
        <f>SUM(T42:W42)</f>
        <v>0</v>
      </c>
      <c r="Y42" s="8"/>
      <c r="Z42" s="68"/>
      <c r="AA42" s="69"/>
    </row>
    <row r="43" spans="1:27" s="88" customFormat="1" ht="24">
      <c r="A43" s="70" t="s">
        <v>27</v>
      </c>
      <c r="B43" s="71">
        <f aca="true" t="shared" si="21" ref="B43:G43">SUM(B40:B42)</f>
        <v>7000</v>
      </c>
      <c r="C43" s="71">
        <f t="shared" si="21"/>
        <v>10309</v>
      </c>
      <c r="D43" s="71">
        <f t="shared" si="21"/>
        <v>7650.4</v>
      </c>
      <c r="E43" s="72">
        <f t="shared" si="21"/>
        <v>15300</v>
      </c>
      <c r="F43" s="72">
        <f t="shared" si="21"/>
        <v>0</v>
      </c>
      <c r="G43" s="72">
        <f t="shared" si="21"/>
        <v>0</v>
      </c>
      <c r="H43" s="72"/>
      <c r="I43" s="72">
        <f>SUM(I40:I42)</f>
        <v>15300</v>
      </c>
      <c r="J43" s="8"/>
      <c r="K43" s="73">
        <f>SUM(K40:K42)</f>
        <v>174274</v>
      </c>
      <c r="L43" s="20">
        <f t="shared" si="20"/>
        <v>0.01139045751633987</v>
      </c>
      <c r="M43" s="25"/>
      <c r="N43" s="29"/>
      <c r="O43" s="55"/>
      <c r="P43" s="8"/>
      <c r="Q43" s="71">
        <f aca="true" t="shared" si="22" ref="Q43:V43">SUM(Q40:Q42)</f>
        <v>1000</v>
      </c>
      <c r="R43" s="71">
        <f t="shared" si="22"/>
        <v>1000</v>
      </c>
      <c r="S43" s="72">
        <f t="shared" si="22"/>
        <v>1000</v>
      </c>
      <c r="T43" s="72">
        <f t="shared" si="22"/>
        <v>11000.000000000002</v>
      </c>
      <c r="U43" s="72">
        <f t="shared" si="22"/>
        <v>0</v>
      </c>
      <c r="V43" s="72">
        <f t="shared" si="22"/>
        <v>0</v>
      </c>
      <c r="W43" s="72"/>
      <c r="X43" s="72">
        <f>SUM(X40:X42)</f>
        <v>11000.000000000002</v>
      </c>
      <c r="Y43" s="8"/>
      <c r="Z43" s="73">
        <f>SUM(Z40:Z42)</f>
        <v>0</v>
      </c>
      <c r="AA43" s="20">
        <f>Z43/(T43*1000)</f>
        <v>0</v>
      </c>
    </row>
    <row r="44" spans="1:27" s="87" customFormat="1" ht="12.75" customHeight="1">
      <c r="A44" s="67" t="s">
        <v>32</v>
      </c>
      <c r="B44" s="84">
        <v>2232</v>
      </c>
      <c r="C44" s="84">
        <v>2282</v>
      </c>
      <c r="D44" s="84">
        <f>2067.6*0+2160.8+44</f>
        <v>2204.8</v>
      </c>
      <c r="E44" s="34">
        <f>((174.28*12+48.64)+130-2270)+2232-2102+(2091+55)</f>
        <v>2276</v>
      </c>
      <c r="F44" s="34"/>
      <c r="G44" s="34"/>
      <c r="H44" s="34"/>
      <c r="I44" s="75">
        <f>SUM(E44:H44)</f>
        <v>2276</v>
      </c>
      <c r="J44" s="58" t="s">
        <v>50</v>
      </c>
      <c r="K44" s="59">
        <v>1587</v>
      </c>
      <c r="L44" s="19">
        <f t="shared" si="20"/>
        <v>0.0006972759226713533</v>
      </c>
      <c r="M44" s="24"/>
      <c r="N44" s="28"/>
      <c r="O44" s="54"/>
      <c r="P44" s="58" t="s">
        <v>55</v>
      </c>
      <c r="Q44" s="85">
        <v>300</v>
      </c>
      <c r="R44" s="85">
        <v>300</v>
      </c>
      <c r="S44" s="86">
        <v>98.7</v>
      </c>
      <c r="T44" s="86">
        <v>0</v>
      </c>
      <c r="U44" s="34"/>
      <c r="V44" s="34"/>
      <c r="W44" s="34"/>
      <c r="X44" s="34"/>
      <c r="Y44" s="8"/>
      <c r="Z44" s="68"/>
      <c r="AA44" s="69"/>
    </row>
    <row r="45" spans="1:29" s="88" customFormat="1" ht="12.75" customHeight="1">
      <c r="A45" s="67" t="s">
        <v>33</v>
      </c>
      <c r="B45" s="84">
        <f>40136+0+0+16/16*408</f>
        <v>40544</v>
      </c>
      <c r="C45" s="89">
        <f>42224.3+0+0+408-1519/2*2+551-112/112*1139</f>
        <v>40525.3</v>
      </c>
      <c r="D45" s="91">
        <f>10754.9+7396.1+18378.9+16/16*299.4+585.5+383+627.2+1352.1</f>
        <v>39777.1</v>
      </c>
      <c r="E45" s="90">
        <f>18500+9756+20069+16/16*400</f>
        <v>48725</v>
      </c>
      <c r="F45" s="90"/>
      <c r="G45" s="90"/>
      <c r="H45" s="90"/>
      <c r="I45" s="90">
        <f aca="true" t="shared" si="23" ref="I45:I54">SUM(E45:H45)</f>
        <v>48725</v>
      </c>
      <c r="J45" s="9" t="s">
        <v>49</v>
      </c>
      <c r="K45" s="16">
        <f>720048.23+5410/5410*15912+11109/11109*6945+1517/1517*3456</f>
        <v>746361.23</v>
      </c>
      <c r="L45" s="19">
        <f t="shared" si="20"/>
        <v>0.01531782924576706</v>
      </c>
      <c r="M45" s="24"/>
      <c r="N45" s="28"/>
      <c r="O45" s="54"/>
      <c r="P45" s="9" t="s">
        <v>53</v>
      </c>
      <c r="Q45" s="84">
        <v>9881</v>
      </c>
      <c r="R45" s="84">
        <v>8708</v>
      </c>
      <c r="S45" s="12">
        <v>8708</v>
      </c>
      <c r="T45" s="34">
        <f>((16/16*8408*3024/100-257.92)+((22683*551.69709758-145.26)+36.145*157974.906662-3.001))/1000</f>
        <v>18478.000004705133</v>
      </c>
      <c r="U45" s="75"/>
      <c r="V45" s="75"/>
      <c r="W45" s="75"/>
      <c r="X45" s="75">
        <f aca="true" t="shared" si="24" ref="X45:X54">SUM(T45:W45)</f>
        <v>18478.000004705133</v>
      </c>
      <c r="Y45" s="92" t="s">
        <v>107</v>
      </c>
      <c r="Z45" s="68">
        <f>T45*1000/12+166.666667</f>
        <v>1540000.0003924274</v>
      </c>
      <c r="AA45" s="23">
        <f>Z45/(T45*1000)</f>
        <v>0.08334235306852965</v>
      </c>
      <c r="AC45" s="29">
        <f>Z12+Z13+Z45</f>
        <v>1632000.000392094</v>
      </c>
    </row>
    <row r="46" spans="1:27" s="87" customFormat="1" ht="12.75">
      <c r="A46" s="74" t="s">
        <v>97</v>
      </c>
      <c r="B46" s="84">
        <f>500+440+215+25</f>
        <v>1180</v>
      </c>
      <c r="C46" s="84">
        <f>500+(440+11/11*125)+215+25</f>
        <v>1305</v>
      </c>
      <c r="D46" s="84">
        <f>373+565+145.5+16</f>
        <v>1099.5</v>
      </c>
      <c r="E46" s="12">
        <f>380+530*0+150*0</f>
        <v>380</v>
      </c>
      <c r="F46" s="12"/>
      <c r="G46" s="12"/>
      <c r="H46" s="12"/>
      <c r="I46" s="12">
        <f t="shared" si="23"/>
        <v>380</v>
      </c>
      <c r="J46" s="9" t="s">
        <v>99</v>
      </c>
      <c r="K46" s="16">
        <v>46940</v>
      </c>
      <c r="L46" s="19">
        <f t="shared" si="20"/>
        <v>0.12352631578947368</v>
      </c>
      <c r="M46" s="24"/>
      <c r="N46" s="28"/>
      <c r="O46" s="54"/>
      <c r="P46" s="9" t="s">
        <v>54</v>
      </c>
      <c r="Q46" s="84"/>
      <c r="R46" s="84"/>
      <c r="S46" s="12">
        <v>251.8</v>
      </c>
      <c r="T46" s="12"/>
      <c r="U46" s="12"/>
      <c r="V46" s="12"/>
      <c r="W46" s="12"/>
      <c r="X46" s="12">
        <f t="shared" si="24"/>
        <v>0</v>
      </c>
      <c r="Y46" s="8"/>
      <c r="Z46" s="68">
        <v>22500</v>
      </c>
      <c r="AA46" s="69"/>
    </row>
    <row r="47" spans="1:27" s="87" customFormat="1" ht="12.75">
      <c r="A47" s="74" t="s">
        <v>95</v>
      </c>
      <c r="B47" s="84"/>
      <c r="C47" s="84"/>
      <c r="D47" s="84"/>
      <c r="E47" s="12">
        <f>380*0+530+150*0</f>
        <v>530</v>
      </c>
      <c r="F47" s="12"/>
      <c r="G47" s="12"/>
      <c r="H47" s="12"/>
      <c r="I47" s="12">
        <f t="shared" si="23"/>
        <v>530</v>
      </c>
      <c r="J47" s="9" t="s">
        <v>98</v>
      </c>
      <c r="K47" s="16">
        <f>64860+2323/2323*340</f>
        <v>65200</v>
      </c>
      <c r="L47" s="19">
        <f t="shared" si="20"/>
        <v>0.1230188679245283</v>
      </c>
      <c r="M47" s="24"/>
      <c r="N47" s="28"/>
      <c r="O47" s="54"/>
      <c r="P47" s="9"/>
      <c r="Q47" s="84"/>
      <c r="R47" s="84"/>
      <c r="S47" s="12"/>
      <c r="T47" s="12"/>
      <c r="U47" s="12"/>
      <c r="V47" s="12"/>
      <c r="W47" s="12"/>
      <c r="X47" s="12">
        <f t="shared" si="24"/>
        <v>0</v>
      </c>
      <c r="Y47" s="8"/>
      <c r="Z47" s="68"/>
      <c r="AA47" s="69"/>
    </row>
    <row r="48" spans="1:27" s="87" customFormat="1" ht="12.75">
      <c r="A48" s="74" t="s">
        <v>96</v>
      </c>
      <c r="B48" s="84"/>
      <c r="C48" s="84"/>
      <c r="D48" s="84"/>
      <c r="E48" s="12">
        <f>380*0+530*0+150</f>
        <v>150</v>
      </c>
      <c r="F48" s="12"/>
      <c r="G48" s="12"/>
      <c r="H48" s="12"/>
      <c r="I48" s="12">
        <f t="shared" si="23"/>
        <v>150</v>
      </c>
      <c r="J48" s="9" t="s">
        <v>100</v>
      </c>
      <c r="K48" s="16">
        <v>30234</v>
      </c>
      <c r="L48" s="19">
        <f t="shared" si="20"/>
        <v>0.20156</v>
      </c>
      <c r="M48" s="24"/>
      <c r="N48" s="28"/>
      <c r="O48" s="54"/>
      <c r="P48" s="9"/>
      <c r="Q48" s="84"/>
      <c r="R48" s="84"/>
      <c r="S48" s="12"/>
      <c r="T48" s="12"/>
      <c r="U48" s="12"/>
      <c r="V48" s="12"/>
      <c r="W48" s="12"/>
      <c r="X48" s="12">
        <f t="shared" si="24"/>
        <v>0</v>
      </c>
      <c r="Y48" s="8"/>
      <c r="Z48" s="68"/>
      <c r="AA48" s="69"/>
    </row>
    <row r="49" spans="1:27" s="87" customFormat="1" ht="12.75">
      <c r="A49" s="67" t="s">
        <v>34</v>
      </c>
      <c r="B49" s="84"/>
      <c r="C49" s="89">
        <f>71+119+1708</f>
        <v>1898</v>
      </c>
      <c r="D49" s="91">
        <f>71.4+119+1708</f>
        <v>1898.4</v>
      </c>
      <c r="E49" s="90"/>
      <c r="F49" s="90"/>
      <c r="G49" s="90"/>
      <c r="H49" s="90"/>
      <c r="I49" s="90">
        <f t="shared" si="23"/>
        <v>0</v>
      </c>
      <c r="J49" s="8"/>
      <c r="K49" s="16"/>
      <c r="L49" s="19"/>
      <c r="M49" s="24"/>
      <c r="N49" s="28"/>
      <c r="O49" s="54"/>
      <c r="P49" s="8" t="s">
        <v>56</v>
      </c>
      <c r="Q49" s="84">
        <v>500</v>
      </c>
      <c r="R49" s="84">
        <v>500</v>
      </c>
      <c r="S49" s="12">
        <v>500</v>
      </c>
      <c r="T49" s="12">
        <v>0</v>
      </c>
      <c r="U49" s="12"/>
      <c r="V49" s="12"/>
      <c r="W49" s="12"/>
      <c r="X49" s="12">
        <f t="shared" si="24"/>
        <v>0</v>
      </c>
      <c r="Y49" s="8"/>
      <c r="Z49" s="68">
        <v>18800</v>
      </c>
      <c r="AA49" s="69"/>
    </row>
    <row r="50" spans="1:27" s="87" customFormat="1" ht="12.75">
      <c r="A50" s="67" t="s">
        <v>35</v>
      </c>
      <c r="B50" s="84">
        <f>0+45+10+2+0+0</f>
        <v>57</v>
      </c>
      <c r="C50" s="89">
        <f>0+76+71+2+0+0+(36+52+139+213)</f>
        <v>589</v>
      </c>
      <c r="D50" s="91">
        <f>3+34+58+38.4+51.6+138.8+213.1</f>
        <v>536.9</v>
      </c>
      <c r="E50" s="90"/>
      <c r="F50" s="90"/>
      <c r="G50" s="90"/>
      <c r="H50" s="90"/>
      <c r="I50" s="90">
        <f t="shared" si="23"/>
        <v>0</v>
      </c>
      <c r="J50" s="8"/>
      <c r="K50" s="16"/>
      <c r="L50" s="19"/>
      <c r="M50" s="24"/>
      <c r="N50" s="28"/>
      <c r="O50" s="54"/>
      <c r="P50" s="8" t="s">
        <v>61</v>
      </c>
      <c r="Q50" s="84"/>
      <c r="R50" s="84">
        <f>220+250+150</f>
        <v>620</v>
      </c>
      <c r="S50" s="12">
        <f>331.4+250+150</f>
        <v>731.4</v>
      </c>
      <c r="T50" s="12"/>
      <c r="U50" s="12"/>
      <c r="V50" s="12"/>
      <c r="W50" s="12"/>
      <c r="X50" s="12">
        <f t="shared" si="24"/>
        <v>0</v>
      </c>
      <c r="Y50" s="8"/>
      <c r="Z50" s="68"/>
      <c r="AA50" s="69"/>
    </row>
    <row r="51" spans="1:27" s="87" customFormat="1" ht="12.75">
      <c r="A51" s="67" t="s">
        <v>93</v>
      </c>
      <c r="B51" s="84"/>
      <c r="C51" s="89"/>
      <c r="D51" s="91"/>
      <c r="E51" s="90"/>
      <c r="F51" s="90"/>
      <c r="G51" s="90"/>
      <c r="H51" s="90"/>
      <c r="I51" s="90">
        <f t="shared" si="23"/>
        <v>0</v>
      </c>
      <c r="J51" s="8"/>
      <c r="K51" s="16">
        <v>7170</v>
      </c>
      <c r="L51" s="19"/>
      <c r="M51" s="24"/>
      <c r="N51" s="28"/>
      <c r="O51" s="54"/>
      <c r="P51" s="8"/>
      <c r="Q51" s="84"/>
      <c r="R51" s="84"/>
      <c r="S51" s="12"/>
      <c r="T51" s="12"/>
      <c r="U51" s="12"/>
      <c r="V51" s="12"/>
      <c r="W51" s="12"/>
      <c r="X51" s="12">
        <f t="shared" si="24"/>
        <v>0</v>
      </c>
      <c r="Y51" s="8"/>
      <c r="Z51" s="68"/>
      <c r="AA51" s="69"/>
    </row>
    <row r="52" spans="1:27" s="87" customFormat="1" ht="12.75">
      <c r="A52" s="67" t="s">
        <v>94</v>
      </c>
      <c r="B52" s="84"/>
      <c r="C52" s="89"/>
      <c r="D52" s="91"/>
      <c r="E52" s="90"/>
      <c r="F52" s="90"/>
      <c r="G52" s="90"/>
      <c r="H52" s="90"/>
      <c r="I52" s="90">
        <f t="shared" si="23"/>
        <v>0</v>
      </c>
      <c r="J52" s="8"/>
      <c r="K52" s="16">
        <v>50222.72</v>
      </c>
      <c r="L52" s="19"/>
      <c r="M52" s="24"/>
      <c r="N52" s="28"/>
      <c r="O52" s="54"/>
      <c r="P52" s="8"/>
      <c r="Q52" s="84"/>
      <c r="R52" s="84"/>
      <c r="S52" s="12"/>
      <c r="T52" s="12"/>
      <c r="U52" s="12"/>
      <c r="V52" s="12"/>
      <c r="W52" s="12"/>
      <c r="X52" s="12">
        <f t="shared" si="24"/>
        <v>0</v>
      </c>
      <c r="Y52" s="8"/>
      <c r="Z52" s="68"/>
      <c r="AA52" s="69"/>
    </row>
    <row r="53" spans="1:27" s="87" customFormat="1" ht="12.75">
      <c r="A53" s="67" t="s">
        <v>102</v>
      </c>
      <c r="B53" s="84"/>
      <c r="C53" s="89"/>
      <c r="D53" s="91"/>
      <c r="E53" s="90"/>
      <c r="F53" s="90"/>
      <c r="G53" s="90"/>
      <c r="H53" s="90"/>
      <c r="I53" s="90">
        <f t="shared" si="23"/>
        <v>0</v>
      </c>
      <c r="J53" s="8"/>
      <c r="K53" s="16">
        <v>57332</v>
      </c>
      <c r="L53" s="19"/>
      <c r="M53" s="24"/>
      <c r="N53" s="28"/>
      <c r="O53" s="54"/>
      <c r="P53" s="8"/>
      <c r="Q53" s="84"/>
      <c r="R53" s="84"/>
      <c r="S53" s="12"/>
      <c r="T53" s="12"/>
      <c r="U53" s="12"/>
      <c r="V53" s="12"/>
      <c r="W53" s="12"/>
      <c r="X53" s="12">
        <f t="shared" si="24"/>
        <v>0</v>
      </c>
      <c r="Y53" s="8"/>
      <c r="Z53" s="68"/>
      <c r="AA53" s="69"/>
    </row>
    <row r="54" spans="1:27" s="88" customFormat="1" ht="12.75">
      <c r="A54" s="67" t="s">
        <v>36</v>
      </c>
      <c r="B54" s="84">
        <v>987</v>
      </c>
      <c r="C54" s="84">
        <v>987</v>
      </c>
      <c r="D54" s="84">
        <v>191.4</v>
      </c>
      <c r="E54" s="12">
        <v>100</v>
      </c>
      <c r="F54" s="12"/>
      <c r="G54" s="12"/>
      <c r="H54" s="12"/>
      <c r="I54" s="12">
        <f t="shared" si="23"/>
        <v>100</v>
      </c>
      <c r="J54" s="8" t="s">
        <v>101</v>
      </c>
      <c r="K54" s="16">
        <f>4/4*336+153/153*1000</f>
        <v>1336</v>
      </c>
      <c r="L54" s="19">
        <f>K54/(E54*1000)</f>
        <v>0.01336</v>
      </c>
      <c r="M54" s="24"/>
      <c r="N54" s="28"/>
      <c r="O54" s="54"/>
      <c r="P54" s="8" t="s">
        <v>57</v>
      </c>
      <c r="Q54" s="12">
        <v>250</v>
      </c>
      <c r="R54" s="12">
        <v>250</v>
      </c>
      <c r="S54" s="12">
        <v>250</v>
      </c>
      <c r="T54" s="12">
        <v>250</v>
      </c>
      <c r="U54" s="12"/>
      <c r="V54" s="12"/>
      <c r="W54" s="12"/>
      <c r="X54" s="12">
        <f t="shared" si="24"/>
        <v>250</v>
      </c>
      <c r="Y54" s="8"/>
      <c r="Z54" s="68"/>
      <c r="AA54" s="23">
        <f>Z54/(T54*1000)</f>
        <v>0</v>
      </c>
    </row>
    <row r="55" spans="1:27" s="87" customFormat="1" ht="12.75" hidden="1">
      <c r="A55" s="67"/>
      <c r="B55" s="84"/>
      <c r="C55" s="84"/>
      <c r="D55" s="84"/>
      <c r="E55" s="12"/>
      <c r="F55" s="12"/>
      <c r="G55" s="12"/>
      <c r="H55" s="12"/>
      <c r="I55" s="12"/>
      <c r="J55" s="8"/>
      <c r="K55" s="16"/>
      <c r="L55" s="19"/>
      <c r="M55" s="24"/>
      <c r="N55" s="28"/>
      <c r="O55" s="54"/>
      <c r="P55" s="8" t="s">
        <v>104</v>
      </c>
      <c r="Q55" s="12"/>
      <c r="R55" s="12">
        <v>961</v>
      </c>
      <c r="S55" s="12">
        <v>961.5</v>
      </c>
      <c r="T55" s="12"/>
      <c r="U55" s="12"/>
      <c r="V55" s="12"/>
      <c r="W55" s="12"/>
      <c r="X55" s="12"/>
      <c r="Y55" s="8"/>
      <c r="Z55" s="68">
        <v>4000</v>
      </c>
      <c r="AA55" s="69"/>
    </row>
    <row r="56" spans="1:29" s="88" customFormat="1" ht="24">
      <c r="A56" s="70" t="s">
        <v>31</v>
      </c>
      <c r="B56" s="71">
        <f aca="true" t="shared" si="25" ref="B56:G56">SUM(B44:B55)</f>
        <v>45000</v>
      </c>
      <c r="C56" s="71">
        <f t="shared" si="25"/>
        <v>47586.3</v>
      </c>
      <c r="D56" s="71">
        <f t="shared" si="25"/>
        <v>45708.100000000006</v>
      </c>
      <c r="E56" s="72">
        <f t="shared" si="25"/>
        <v>52161</v>
      </c>
      <c r="F56" s="72">
        <f t="shared" si="25"/>
        <v>0</v>
      </c>
      <c r="G56" s="72">
        <f t="shared" si="25"/>
        <v>0</v>
      </c>
      <c r="H56" s="72"/>
      <c r="I56" s="72">
        <f>SUM(I44:I55)</f>
        <v>52161</v>
      </c>
      <c r="J56" s="8"/>
      <c r="K56" s="73">
        <f>SUM(K44:K55)</f>
        <v>1006382.95</v>
      </c>
      <c r="L56" s="20">
        <f>K56/(E56*1000)</f>
        <v>0.01929378175265045</v>
      </c>
      <c r="M56" s="25"/>
      <c r="N56" s="29"/>
      <c r="O56" s="55">
        <f>K56-1006382.95</f>
        <v>0</v>
      </c>
      <c r="P56" s="8"/>
      <c r="Q56" s="71">
        <f aca="true" t="shared" si="26" ref="Q56:V56">SUM(Q44:Q55)</f>
        <v>10931</v>
      </c>
      <c r="R56" s="71">
        <f t="shared" si="26"/>
        <v>11339</v>
      </c>
      <c r="S56" s="72">
        <f t="shared" si="26"/>
        <v>11501.4</v>
      </c>
      <c r="T56" s="72">
        <f t="shared" si="26"/>
        <v>18728.000004705133</v>
      </c>
      <c r="U56" s="72">
        <f t="shared" si="26"/>
        <v>0</v>
      </c>
      <c r="V56" s="72">
        <f t="shared" si="26"/>
        <v>0</v>
      </c>
      <c r="W56" s="72"/>
      <c r="X56" s="72">
        <f>SUM(X44:X55)</f>
        <v>18728.000004705133</v>
      </c>
      <c r="Y56" s="8"/>
      <c r="Z56" s="73">
        <f>SUM(Z44:Z55)</f>
        <v>1585300.0003924274</v>
      </c>
      <c r="AA56" s="20">
        <f aca="true" t="shared" si="27" ref="AA56:AA61">Z56/(T56*1000)</f>
        <v>0.08464865442087487</v>
      </c>
      <c r="AC56" s="55">
        <f>Z56-Z45-45300</f>
        <v>0</v>
      </c>
    </row>
    <row r="57" spans="1:27" s="88" customFormat="1" ht="12.75">
      <c r="A57" s="67"/>
      <c r="B57" s="84"/>
      <c r="C57" s="84"/>
      <c r="D57" s="84"/>
      <c r="E57" s="12"/>
      <c r="F57" s="12"/>
      <c r="G57" s="12"/>
      <c r="H57" s="12"/>
      <c r="I57" s="12"/>
      <c r="J57" s="8"/>
      <c r="K57" s="16"/>
      <c r="L57" s="19"/>
      <c r="M57" s="24"/>
      <c r="N57" s="28"/>
      <c r="O57" s="54"/>
      <c r="P57" s="8" t="s">
        <v>66</v>
      </c>
      <c r="Q57" s="84">
        <v>2368</v>
      </c>
      <c r="R57" s="84">
        <v>2418</v>
      </c>
      <c r="S57" s="12">
        <v>2215.6</v>
      </c>
      <c r="T57" s="93">
        <f>250+35+520+13+250+1300</f>
        <v>2368</v>
      </c>
      <c r="U57" s="94"/>
      <c r="V57" s="94"/>
      <c r="W57" s="94"/>
      <c r="X57" s="94">
        <f aca="true" t="shared" si="28" ref="X57:X64">SUM(T57:W57)</f>
        <v>2368</v>
      </c>
      <c r="Y57" s="95" t="s">
        <v>67</v>
      </c>
      <c r="Z57" s="68">
        <f>17325+1545+30421+3000+27768+42936</f>
        <v>122995</v>
      </c>
      <c r="AA57" s="23">
        <f t="shared" si="27"/>
        <v>0.05194045608108108</v>
      </c>
    </row>
    <row r="58" spans="1:27" s="88" customFormat="1" ht="12.75">
      <c r="A58" s="67"/>
      <c r="B58" s="84"/>
      <c r="C58" s="84"/>
      <c r="D58" s="84"/>
      <c r="E58" s="12"/>
      <c r="F58" s="12"/>
      <c r="G58" s="12"/>
      <c r="H58" s="12"/>
      <c r="I58" s="12"/>
      <c r="J58" s="8"/>
      <c r="K58" s="16"/>
      <c r="L58" s="19"/>
      <c r="M58" s="24"/>
      <c r="N58" s="28"/>
      <c r="O58" s="54"/>
      <c r="P58" s="8" t="s">
        <v>65</v>
      </c>
      <c r="Q58" s="84">
        <v>3400</v>
      </c>
      <c r="R58" s="84">
        <v>2554</v>
      </c>
      <c r="S58" s="96">
        <f>3110/3110*2404+37*16-37*(16*2)*50%+150</f>
        <v>2554</v>
      </c>
      <c r="T58" s="94">
        <f>3400-500*0</f>
        <v>3400</v>
      </c>
      <c r="U58" s="94"/>
      <c r="V58" s="94"/>
      <c r="W58" s="94"/>
      <c r="X58" s="94">
        <f t="shared" si="28"/>
        <v>3400</v>
      </c>
      <c r="Y58" s="76" t="s">
        <v>71</v>
      </c>
      <c r="Z58" s="68">
        <f>94525</f>
        <v>94525</v>
      </c>
      <c r="AA58" s="23">
        <f t="shared" si="27"/>
        <v>0.027801470588235296</v>
      </c>
    </row>
    <row r="59" spans="1:27" s="88" customFormat="1" ht="12.75">
      <c r="A59" s="67"/>
      <c r="B59" s="84"/>
      <c r="C59" s="84"/>
      <c r="D59" s="84"/>
      <c r="E59" s="12"/>
      <c r="F59" s="12"/>
      <c r="G59" s="12"/>
      <c r="H59" s="12"/>
      <c r="I59" s="12"/>
      <c r="J59" s="8"/>
      <c r="K59" s="16"/>
      <c r="L59" s="19"/>
      <c r="M59" s="24"/>
      <c r="N59" s="28"/>
      <c r="O59" s="54"/>
      <c r="P59" s="8" t="s">
        <v>64</v>
      </c>
      <c r="Q59" s="84">
        <v>5000</v>
      </c>
      <c r="R59" s="84">
        <v>5000</v>
      </c>
      <c r="S59" s="12">
        <v>5000</v>
      </c>
      <c r="T59" s="12">
        <v>5000</v>
      </c>
      <c r="U59" s="12"/>
      <c r="V59" s="12">
        <f>3/3*4200</f>
        <v>4200</v>
      </c>
      <c r="W59" s="12"/>
      <c r="X59" s="12">
        <f t="shared" si="28"/>
        <v>9200</v>
      </c>
      <c r="Y59" s="8"/>
      <c r="Z59" s="68"/>
      <c r="AA59" s="23">
        <f t="shared" si="27"/>
        <v>0</v>
      </c>
    </row>
    <row r="60" spans="1:27" s="88" customFormat="1" ht="12.75">
      <c r="A60" s="67"/>
      <c r="B60" s="84"/>
      <c r="C60" s="84"/>
      <c r="D60" s="84"/>
      <c r="E60" s="12"/>
      <c r="F60" s="12"/>
      <c r="G60" s="12"/>
      <c r="H60" s="12"/>
      <c r="I60" s="12"/>
      <c r="J60" s="8"/>
      <c r="K60" s="16"/>
      <c r="L60" s="19"/>
      <c r="M60" s="24"/>
      <c r="N60" s="28"/>
      <c r="O60" s="54"/>
      <c r="P60" s="8" t="s">
        <v>106</v>
      </c>
      <c r="Q60" s="84"/>
      <c r="R60" s="84"/>
      <c r="S60" s="12"/>
      <c r="T60" s="12"/>
      <c r="U60" s="12"/>
      <c r="V60" s="12"/>
      <c r="W60" s="12"/>
      <c r="X60" s="12">
        <f t="shared" si="28"/>
        <v>0</v>
      </c>
      <c r="Y60" s="8"/>
      <c r="Z60" s="68">
        <f>1632000-Z45-Z13-Z12</f>
        <v>-0.0003920941016986035</v>
      </c>
      <c r="AA60" s="23"/>
    </row>
    <row r="61" spans="1:27" s="88" customFormat="1" ht="12.75">
      <c r="A61" s="67"/>
      <c r="B61" s="84"/>
      <c r="C61" s="84"/>
      <c r="D61" s="84"/>
      <c r="E61" s="12"/>
      <c r="F61" s="12"/>
      <c r="G61" s="12"/>
      <c r="H61" s="12"/>
      <c r="I61" s="12"/>
      <c r="J61" s="8"/>
      <c r="K61" s="16"/>
      <c r="L61" s="19"/>
      <c r="M61" s="24"/>
      <c r="N61" s="28"/>
      <c r="O61" s="54"/>
      <c r="P61" s="8" t="s">
        <v>63</v>
      </c>
      <c r="Q61" s="84">
        <v>33534</v>
      </c>
      <c r="R61" s="84">
        <v>33534</v>
      </c>
      <c r="S61" s="12">
        <v>33534</v>
      </c>
      <c r="T61" s="34">
        <f>8408*3.728472883</f>
        <v>31349.000000263997</v>
      </c>
      <c r="U61" s="75"/>
      <c r="V61" s="75"/>
      <c r="W61" s="75"/>
      <c r="X61" s="75">
        <f t="shared" si="28"/>
        <v>31349.000000263997</v>
      </c>
      <c r="Y61" s="36" t="s">
        <v>68</v>
      </c>
      <c r="Z61" s="68">
        <f>2612000</f>
        <v>2612000</v>
      </c>
      <c r="AA61" s="23">
        <f t="shared" si="27"/>
        <v>0.08332004210590462</v>
      </c>
    </row>
    <row r="62" spans="1:27" s="87" customFormat="1" ht="12.75">
      <c r="A62" s="67"/>
      <c r="B62" s="84"/>
      <c r="C62" s="84"/>
      <c r="D62" s="84"/>
      <c r="E62" s="12"/>
      <c r="F62" s="12"/>
      <c r="G62" s="12"/>
      <c r="H62" s="12"/>
      <c r="I62" s="12"/>
      <c r="J62" s="8"/>
      <c r="K62" s="16"/>
      <c r="L62" s="19"/>
      <c r="M62" s="24"/>
      <c r="N62" s="28"/>
      <c r="O62" s="54"/>
      <c r="P62" s="8" t="s">
        <v>103</v>
      </c>
      <c r="Q62" s="84"/>
      <c r="R62" s="84">
        <v>2198.3</v>
      </c>
      <c r="S62" s="12">
        <v>2198.4</v>
      </c>
      <c r="T62" s="12"/>
      <c r="U62" s="12"/>
      <c r="V62" s="12"/>
      <c r="W62" s="12"/>
      <c r="X62" s="12">
        <f t="shared" si="28"/>
        <v>0</v>
      </c>
      <c r="Y62" s="76"/>
      <c r="Z62" s="68"/>
      <c r="AA62" s="69"/>
    </row>
    <row r="63" spans="1:27" s="88" customFormat="1" ht="12.75">
      <c r="A63" s="67"/>
      <c r="B63" s="84"/>
      <c r="C63" s="84"/>
      <c r="D63" s="84"/>
      <c r="E63" s="12"/>
      <c r="F63" s="12"/>
      <c r="G63" s="12"/>
      <c r="H63" s="12"/>
      <c r="I63" s="12"/>
      <c r="J63" s="8"/>
      <c r="K63" s="16"/>
      <c r="L63" s="19"/>
      <c r="M63" s="24"/>
      <c r="N63" s="28"/>
      <c r="O63" s="54"/>
      <c r="P63" s="8" t="s">
        <v>62</v>
      </c>
      <c r="Q63" s="84">
        <v>39526</v>
      </c>
      <c r="R63" s="84">
        <f>55150+2500</f>
        <v>57650</v>
      </c>
      <c r="S63" s="12">
        <f>55150+2500</f>
        <v>57650</v>
      </c>
      <c r="T63" s="34">
        <f>4662+2498+1000</f>
        <v>8160</v>
      </c>
      <c r="U63" s="75"/>
      <c r="V63" s="75">
        <f>3/3*(-4200+2000+80)</f>
        <v>-2120</v>
      </c>
      <c r="W63" s="75"/>
      <c r="X63" s="75">
        <f t="shared" si="28"/>
        <v>6040</v>
      </c>
      <c r="Y63" s="36" t="s">
        <v>69</v>
      </c>
      <c r="Z63" s="68"/>
      <c r="AA63" s="23">
        <f>Z63/(T63*1000)</f>
        <v>0</v>
      </c>
    </row>
    <row r="64" spans="1:27" s="87" customFormat="1" ht="12.75" hidden="1">
      <c r="A64" s="67"/>
      <c r="B64" s="84"/>
      <c r="C64" s="84"/>
      <c r="D64" s="84"/>
      <c r="E64" s="12"/>
      <c r="F64" s="12"/>
      <c r="G64" s="12"/>
      <c r="H64" s="12"/>
      <c r="I64" s="12"/>
      <c r="J64" s="8"/>
      <c r="K64" s="16"/>
      <c r="L64" s="19"/>
      <c r="M64" s="24"/>
      <c r="N64" s="28"/>
      <c r="O64" s="54"/>
      <c r="P64" s="8" t="s">
        <v>105</v>
      </c>
      <c r="Q64" s="84"/>
      <c r="R64" s="84"/>
      <c r="S64" s="12"/>
      <c r="T64" s="12"/>
      <c r="U64" s="12"/>
      <c r="V64" s="12"/>
      <c r="W64" s="12"/>
      <c r="X64" s="12">
        <f t="shared" si="28"/>
        <v>0</v>
      </c>
      <c r="Y64" s="8"/>
      <c r="Z64" s="68">
        <v>17000</v>
      </c>
      <c r="AA64" s="69"/>
    </row>
    <row r="65" spans="1:27" s="88" customFormat="1" ht="24">
      <c r="A65" s="70" t="s">
        <v>37</v>
      </c>
      <c r="B65" s="71">
        <f aca="true" t="shared" si="29" ref="B65:G65">SUM(B57:B64)</f>
        <v>0</v>
      </c>
      <c r="C65" s="71">
        <f t="shared" si="29"/>
        <v>0</v>
      </c>
      <c r="D65" s="71">
        <f t="shared" si="29"/>
        <v>0</v>
      </c>
      <c r="E65" s="72">
        <f t="shared" si="29"/>
        <v>0</v>
      </c>
      <c r="F65" s="72">
        <f t="shared" si="29"/>
        <v>0</v>
      </c>
      <c r="G65" s="72">
        <f t="shared" si="29"/>
        <v>0</v>
      </c>
      <c r="H65" s="72"/>
      <c r="I65" s="72">
        <f>SUM(I57:I64)</f>
        <v>0</v>
      </c>
      <c r="J65" s="8"/>
      <c r="K65" s="73">
        <f>SUM(K57:K64)</f>
        <v>0</v>
      </c>
      <c r="L65" s="19"/>
      <c r="M65" s="24"/>
      <c r="N65" s="28"/>
      <c r="O65" s="54"/>
      <c r="P65" s="8"/>
      <c r="Q65" s="71">
        <f aca="true" t="shared" si="30" ref="Q65:V65">SUM(Q57:Q64)</f>
        <v>83828</v>
      </c>
      <c r="R65" s="71">
        <f t="shared" si="30"/>
        <v>103354.3</v>
      </c>
      <c r="S65" s="72">
        <f t="shared" si="30"/>
        <v>103152</v>
      </c>
      <c r="T65" s="72">
        <f t="shared" si="30"/>
        <v>50277.000000264</v>
      </c>
      <c r="U65" s="72">
        <f t="shared" si="30"/>
        <v>0</v>
      </c>
      <c r="V65" s="72">
        <f t="shared" si="30"/>
        <v>2080</v>
      </c>
      <c r="W65" s="72"/>
      <c r="X65" s="72">
        <f>SUM(X57:X64)</f>
        <v>52357.000000264</v>
      </c>
      <c r="Y65" s="8"/>
      <c r="Z65" s="73">
        <f>SUM(Z57:Z64)</f>
        <v>2846519.9996079057</v>
      </c>
      <c r="AA65" s="20">
        <f>Z65/(T65*1000)</f>
        <v>0.056616743234340926</v>
      </c>
    </row>
    <row r="66" spans="1:27" s="38" customFormat="1" ht="12.75">
      <c r="A66" s="1"/>
      <c r="B66" s="33"/>
      <c r="C66" s="33"/>
      <c r="D66" s="33"/>
      <c r="E66" s="11"/>
      <c r="F66" s="11"/>
      <c r="G66" s="11"/>
      <c r="H66" s="11"/>
      <c r="I66" s="11"/>
      <c r="J66" s="8"/>
      <c r="K66" s="97"/>
      <c r="L66" s="21"/>
      <c r="M66" s="26"/>
      <c r="N66" s="30"/>
      <c r="O66" s="56"/>
      <c r="P66" s="8"/>
      <c r="Q66" s="33"/>
      <c r="R66" s="33"/>
      <c r="S66" s="11"/>
      <c r="T66" s="11"/>
      <c r="U66" s="11"/>
      <c r="V66" s="11"/>
      <c r="W66" s="11"/>
      <c r="X66" s="11"/>
      <c r="Y66" s="7"/>
      <c r="Z66" s="97"/>
      <c r="AA66" s="21"/>
    </row>
    <row r="67" spans="1:27" s="38" customFormat="1" ht="12.75">
      <c r="A67" s="4" t="s">
        <v>86</v>
      </c>
      <c r="B67" s="5">
        <f aca="true" t="shared" si="31" ref="B67:G67">SUM(B4:B66)/2</f>
        <v>97805</v>
      </c>
      <c r="C67" s="5">
        <f t="shared" si="31"/>
        <v>118586.29999999999</v>
      </c>
      <c r="D67" s="5">
        <f t="shared" si="31"/>
        <v>113515.99999999999</v>
      </c>
      <c r="E67" s="6">
        <f t="shared" si="31"/>
        <v>81875</v>
      </c>
      <c r="F67" s="6">
        <f t="shared" si="31"/>
        <v>0</v>
      </c>
      <c r="G67" s="6">
        <f t="shared" si="31"/>
        <v>2080</v>
      </c>
      <c r="H67" s="6"/>
      <c r="I67" s="6">
        <f>SUM(I4:I66)/2</f>
        <v>83955</v>
      </c>
      <c r="J67" s="8"/>
      <c r="K67" s="18">
        <f>SUM(K4:K66)/2</f>
        <v>1594614.73</v>
      </c>
      <c r="L67" s="22">
        <f>K67/(E67*1000)</f>
        <v>0.019476210442748092</v>
      </c>
      <c r="M67" s="27"/>
      <c r="N67" s="31"/>
      <c r="O67" s="57"/>
      <c r="P67" s="8"/>
      <c r="Q67" s="5">
        <f aca="true" t="shared" si="32" ref="Q67:V67">SUM(Q4:Q66)/2</f>
        <v>97585</v>
      </c>
      <c r="R67" s="5">
        <f t="shared" si="32"/>
        <v>117535.29999999999</v>
      </c>
      <c r="S67" s="6">
        <f t="shared" si="32"/>
        <v>117495.4</v>
      </c>
      <c r="T67" s="6">
        <f t="shared" si="32"/>
        <v>81875.00000496913</v>
      </c>
      <c r="U67" s="6">
        <f t="shared" si="32"/>
        <v>0</v>
      </c>
      <c r="V67" s="6">
        <f t="shared" si="32"/>
        <v>2080</v>
      </c>
      <c r="W67" s="6"/>
      <c r="X67" s="6">
        <f>SUM(X4:X66)/2</f>
        <v>83955.00000496913</v>
      </c>
      <c r="Y67" s="7"/>
      <c r="Z67" s="18">
        <f>SUM(Z4:Z66)/2</f>
        <v>4597575</v>
      </c>
      <c r="AA67" s="22">
        <f>Z67/(T67*1000)</f>
        <v>0.05615358778285148</v>
      </c>
    </row>
    <row r="68" spans="1:27" s="38" customFormat="1" ht="12.75">
      <c r="A68" s="64"/>
      <c r="B68" s="33"/>
      <c r="C68" s="33"/>
      <c r="D68" s="33"/>
      <c r="E68" s="11"/>
      <c r="F68" s="11"/>
      <c r="G68" s="11"/>
      <c r="H68" s="11"/>
      <c r="I68" s="11"/>
      <c r="J68" s="8"/>
      <c r="K68" s="16"/>
      <c r="L68" s="19"/>
      <c r="M68" s="24"/>
      <c r="N68" s="28"/>
      <c r="O68" s="54"/>
      <c r="P68" s="8"/>
      <c r="Q68" s="33">
        <f>Q67-B67</f>
        <v>-220</v>
      </c>
      <c r="R68" s="33">
        <f>R67-C67</f>
        <v>-1051</v>
      </c>
      <c r="S68" s="11">
        <f>S67-D67</f>
        <v>3979.4000000000087</v>
      </c>
      <c r="T68" s="98">
        <f>T67-E67</f>
        <v>4.969129804521799E-06</v>
      </c>
      <c r="U68" s="99"/>
      <c r="V68" s="99"/>
      <c r="W68" s="99"/>
      <c r="X68" s="99"/>
      <c r="Y68" s="7"/>
      <c r="Z68" s="16"/>
      <c r="AA68" s="19"/>
    </row>
    <row r="69" spans="1:27" s="38" customFormat="1" ht="12.75">
      <c r="A69" s="46" t="s">
        <v>82</v>
      </c>
      <c r="B69" s="33"/>
      <c r="C69" s="33"/>
      <c r="D69" s="33"/>
      <c r="E69" s="11"/>
      <c r="F69" s="11"/>
      <c r="G69" s="11"/>
      <c r="H69" s="11"/>
      <c r="I69" s="11"/>
      <c r="J69" s="8"/>
      <c r="K69" s="16"/>
      <c r="L69" s="19"/>
      <c r="M69" s="24"/>
      <c r="N69" s="28"/>
      <c r="O69" s="54"/>
      <c r="P69" s="8"/>
      <c r="Q69" s="33"/>
      <c r="R69" s="33"/>
      <c r="S69" s="11"/>
      <c r="T69" s="11"/>
      <c r="U69" s="11"/>
      <c r="V69" s="11"/>
      <c r="W69" s="11"/>
      <c r="X69" s="11"/>
      <c r="Y69" s="7"/>
      <c r="Z69" s="16"/>
      <c r="AA69" s="19"/>
    </row>
    <row r="70" spans="1:27" s="38" customFormat="1" ht="12.75">
      <c r="A70" s="63" t="s">
        <v>117</v>
      </c>
      <c r="B70" s="33"/>
      <c r="C70" s="33"/>
      <c r="D70" s="33"/>
      <c r="E70" s="11"/>
      <c r="F70" s="11"/>
      <c r="G70" s="11"/>
      <c r="H70" s="11"/>
      <c r="I70" s="11"/>
      <c r="J70" s="8"/>
      <c r="K70" s="16"/>
      <c r="L70" s="19"/>
      <c r="M70" s="24"/>
      <c r="N70" s="28"/>
      <c r="O70" s="54"/>
      <c r="P70" s="8"/>
      <c r="Q70" s="33"/>
      <c r="R70" s="33"/>
      <c r="S70" s="11"/>
      <c r="T70" s="11"/>
      <c r="U70" s="11"/>
      <c r="V70" s="11"/>
      <c r="W70" s="11"/>
      <c r="X70" s="11"/>
      <c r="Y70" s="7"/>
      <c r="Z70" s="16"/>
      <c r="AA70" s="19"/>
    </row>
    <row r="71" spans="1:27" s="38" customFormat="1" ht="24">
      <c r="A71" s="1" t="s">
        <v>83</v>
      </c>
      <c r="B71" s="33"/>
      <c r="C71" s="33"/>
      <c r="D71" s="33"/>
      <c r="E71" s="11"/>
      <c r="F71" s="11">
        <f>1/1*6000</f>
        <v>6000</v>
      </c>
      <c r="G71" s="11"/>
      <c r="H71" s="11"/>
      <c r="I71" s="11">
        <f>SUM(E71:H71)</f>
        <v>6000</v>
      </c>
      <c r="J71" s="8"/>
      <c r="K71" s="16">
        <f>1610453-K72</f>
        <v>128453</v>
      </c>
      <c r="L71" s="19"/>
      <c r="M71" s="24"/>
      <c r="N71" s="28"/>
      <c r="O71" s="54"/>
      <c r="P71" s="8"/>
      <c r="Q71" s="33"/>
      <c r="R71" s="33"/>
      <c r="S71" s="11"/>
      <c r="T71" s="11"/>
      <c r="U71" s="11">
        <f>1/1*6000</f>
        <v>6000</v>
      </c>
      <c r="V71" s="11"/>
      <c r="W71" s="11"/>
      <c r="X71" s="11">
        <f>SUM(T71:W71)</f>
        <v>6000</v>
      </c>
      <c r="Y71" s="7"/>
      <c r="Z71" s="16">
        <v>1000000</v>
      </c>
      <c r="AA71" s="23" t="e">
        <f>Z71/(T71*1000)</f>
        <v>#DIV/0!</v>
      </c>
    </row>
    <row r="72" spans="1:27" s="38" customFormat="1" ht="24">
      <c r="A72" s="1" t="s">
        <v>84</v>
      </c>
      <c r="B72" s="33"/>
      <c r="C72" s="33"/>
      <c r="D72" s="33"/>
      <c r="E72" s="11"/>
      <c r="F72" s="11">
        <f>1/1*16730</f>
        <v>16730</v>
      </c>
      <c r="G72" s="11"/>
      <c r="H72" s="11"/>
      <c r="I72" s="11">
        <f>SUM(E72:H72)</f>
        <v>16730</v>
      </c>
      <c r="J72" s="8"/>
      <c r="K72" s="16">
        <v>1482000</v>
      </c>
      <c r="L72" s="19"/>
      <c r="M72" s="24"/>
      <c r="N72" s="28"/>
      <c r="O72" s="54"/>
      <c r="P72" s="8"/>
      <c r="Q72" s="33"/>
      <c r="R72" s="33"/>
      <c r="S72" s="11"/>
      <c r="T72" s="11"/>
      <c r="U72" s="11">
        <f>1/1*16730</f>
        <v>16730</v>
      </c>
      <c r="V72" s="11"/>
      <c r="W72" s="11"/>
      <c r="X72" s="11">
        <f>SUM(T72:W72)</f>
        <v>16730</v>
      </c>
      <c r="Y72" s="7"/>
      <c r="Z72" s="16">
        <v>1800000</v>
      </c>
      <c r="AA72" s="23" t="e">
        <f>Z72/(T72*1000)</f>
        <v>#DIV/0!</v>
      </c>
    </row>
    <row r="73" spans="1:27" s="38" customFormat="1" ht="12.75">
      <c r="A73" s="1" t="s">
        <v>115</v>
      </c>
      <c r="B73" s="33"/>
      <c r="C73" s="33"/>
      <c r="D73" s="33"/>
      <c r="E73" s="11"/>
      <c r="F73" s="11">
        <f>2/2*369.9</f>
        <v>369.9</v>
      </c>
      <c r="G73" s="11"/>
      <c r="H73" s="11"/>
      <c r="I73" s="11">
        <f>SUM(E73:H73)</f>
        <v>369.9</v>
      </c>
      <c r="J73" s="8"/>
      <c r="K73" s="16"/>
      <c r="L73" s="19"/>
      <c r="M73" s="24"/>
      <c r="N73" s="28"/>
      <c r="O73" s="54"/>
      <c r="P73" s="8"/>
      <c r="Q73" s="33"/>
      <c r="R73" s="33"/>
      <c r="S73" s="11"/>
      <c r="T73" s="11"/>
      <c r="U73" s="11">
        <f>2/2*369.9</f>
        <v>369.9</v>
      </c>
      <c r="V73" s="11"/>
      <c r="W73" s="11"/>
      <c r="X73" s="11">
        <f>SUM(T73:W73)</f>
        <v>369.9</v>
      </c>
      <c r="Y73" s="7"/>
      <c r="Z73" s="16"/>
      <c r="AA73" s="19"/>
    </row>
    <row r="74" spans="1:27" s="38" customFormat="1" ht="12.75">
      <c r="A74" s="1" t="s">
        <v>116</v>
      </c>
      <c r="B74" s="33"/>
      <c r="C74" s="33"/>
      <c r="D74" s="33"/>
      <c r="E74" s="11"/>
      <c r="F74" s="11">
        <f>2/2*226.1</f>
        <v>226.1</v>
      </c>
      <c r="G74" s="11"/>
      <c r="H74" s="11"/>
      <c r="I74" s="11">
        <f>SUM(E74:H74)</f>
        <v>226.1</v>
      </c>
      <c r="J74" s="8"/>
      <c r="K74" s="16"/>
      <c r="L74" s="19"/>
      <c r="M74" s="24"/>
      <c r="N74" s="28"/>
      <c r="O74" s="54"/>
      <c r="P74" s="8"/>
      <c r="Q74" s="33"/>
      <c r="R74" s="33"/>
      <c r="S74" s="11"/>
      <c r="T74" s="11"/>
      <c r="U74" s="11">
        <f>2/2*226.1</f>
        <v>226.1</v>
      </c>
      <c r="V74" s="11"/>
      <c r="W74" s="11"/>
      <c r="X74" s="11">
        <f>SUM(T74:W74)</f>
        <v>226.1</v>
      </c>
      <c r="Y74" s="7"/>
      <c r="Z74" s="16"/>
      <c r="AA74" s="19"/>
    </row>
    <row r="75" spans="1:27" s="38" customFormat="1" ht="12.75">
      <c r="A75" s="63" t="s">
        <v>118</v>
      </c>
      <c r="B75" s="33"/>
      <c r="C75" s="33"/>
      <c r="D75" s="33"/>
      <c r="E75" s="11"/>
      <c r="F75" s="11"/>
      <c r="G75" s="11"/>
      <c r="H75" s="11"/>
      <c r="I75" s="11"/>
      <c r="J75" s="8"/>
      <c r="K75" s="16"/>
      <c r="L75" s="19"/>
      <c r="M75" s="24"/>
      <c r="N75" s="28"/>
      <c r="O75" s="54"/>
      <c r="P75" s="8"/>
      <c r="Q75" s="33"/>
      <c r="R75" s="33"/>
      <c r="S75" s="11"/>
      <c r="T75" s="11"/>
      <c r="U75" s="11"/>
      <c r="V75" s="11"/>
      <c r="W75" s="11"/>
      <c r="X75" s="11"/>
      <c r="Y75" s="7"/>
      <c r="Z75" s="16"/>
      <c r="AA75" s="19"/>
    </row>
    <row r="76" spans="1:27" s="38" customFormat="1" ht="12.75">
      <c r="A76" s="1" t="s">
        <v>119</v>
      </c>
      <c r="B76" s="33"/>
      <c r="C76" s="33"/>
      <c r="D76" s="33"/>
      <c r="E76" s="11"/>
      <c r="F76" s="11">
        <f>2/2*4000</f>
        <v>4000</v>
      </c>
      <c r="G76" s="11"/>
      <c r="H76" s="11"/>
      <c r="I76" s="11">
        <f>SUM(E76:H76)</f>
        <v>4000</v>
      </c>
      <c r="J76" s="8"/>
      <c r="K76" s="16"/>
      <c r="L76" s="19"/>
      <c r="M76" s="24"/>
      <c r="N76" s="28"/>
      <c r="O76" s="54"/>
      <c r="P76" s="8"/>
      <c r="Q76" s="33"/>
      <c r="R76" s="33"/>
      <c r="S76" s="11"/>
      <c r="T76" s="11"/>
      <c r="U76" s="11">
        <f>2/2*4000</f>
        <v>4000</v>
      </c>
      <c r="V76" s="11"/>
      <c r="W76" s="11"/>
      <c r="X76" s="11">
        <f>SUM(T76:W76)</f>
        <v>4000</v>
      </c>
      <c r="Y76" s="7"/>
      <c r="Z76" s="16"/>
      <c r="AA76" s="19"/>
    </row>
    <row r="77" spans="1:27" s="38" customFormat="1" ht="12.75">
      <c r="A77" s="1" t="s">
        <v>120</v>
      </c>
      <c r="B77" s="33"/>
      <c r="C77" s="33"/>
      <c r="D77" s="33"/>
      <c r="E77" s="11"/>
      <c r="F77" s="11">
        <f>2/2*339.1</f>
        <v>339.1</v>
      </c>
      <c r="G77" s="11"/>
      <c r="H77" s="11"/>
      <c r="I77" s="11">
        <f>SUM(E77:H77)</f>
        <v>339.1</v>
      </c>
      <c r="J77" s="8"/>
      <c r="K77" s="16"/>
      <c r="L77" s="19"/>
      <c r="M77" s="24"/>
      <c r="N77" s="28"/>
      <c r="O77" s="54"/>
      <c r="P77" s="8"/>
      <c r="Q77" s="33"/>
      <c r="R77" s="33"/>
      <c r="S77" s="11"/>
      <c r="T77" s="11"/>
      <c r="U77" s="11">
        <f>2/2*339.1</f>
        <v>339.1</v>
      </c>
      <c r="V77" s="11"/>
      <c r="W77" s="11"/>
      <c r="X77" s="11">
        <f>SUM(T77:W77)</f>
        <v>339.1</v>
      </c>
      <c r="Y77" s="7"/>
      <c r="Z77" s="16"/>
      <c r="AA77" s="19"/>
    </row>
    <row r="78" spans="1:27" s="38" customFormat="1" ht="12.75">
      <c r="A78" s="1" t="s">
        <v>121</v>
      </c>
      <c r="B78" s="33"/>
      <c r="C78" s="33"/>
      <c r="D78" s="33"/>
      <c r="E78" s="11"/>
      <c r="F78" s="11">
        <f>2/2*51.7</f>
        <v>51.7</v>
      </c>
      <c r="G78" s="11"/>
      <c r="H78" s="11"/>
      <c r="I78" s="11">
        <f>SUM(E78:H78)</f>
        <v>51.7</v>
      </c>
      <c r="J78" s="8"/>
      <c r="K78" s="16"/>
      <c r="L78" s="19"/>
      <c r="M78" s="24"/>
      <c r="N78" s="28"/>
      <c r="O78" s="54"/>
      <c r="P78" s="8"/>
      <c r="Q78" s="33"/>
      <c r="R78" s="33"/>
      <c r="S78" s="11"/>
      <c r="T78" s="11"/>
      <c r="U78" s="11">
        <f>2/2*51.7</f>
        <v>51.7</v>
      </c>
      <c r="V78" s="11"/>
      <c r="W78" s="11"/>
      <c r="X78" s="11">
        <f>SUM(T78:W78)</f>
        <v>51.7</v>
      </c>
      <c r="Y78" s="7"/>
      <c r="Z78" s="16"/>
      <c r="AA78" s="19"/>
    </row>
    <row r="79" spans="1:27" s="38" customFormat="1" ht="24">
      <c r="A79" s="1" t="s">
        <v>122</v>
      </c>
      <c r="B79" s="33"/>
      <c r="C79" s="33"/>
      <c r="D79" s="33"/>
      <c r="E79" s="11"/>
      <c r="F79" s="11">
        <f>2/2*50</f>
        <v>50</v>
      </c>
      <c r="G79" s="11"/>
      <c r="H79" s="11"/>
      <c r="I79" s="11">
        <f>SUM(E79:H79)</f>
        <v>50</v>
      </c>
      <c r="J79" s="8"/>
      <c r="K79" s="16"/>
      <c r="L79" s="19"/>
      <c r="M79" s="24"/>
      <c r="N79" s="28"/>
      <c r="O79" s="54"/>
      <c r="P79" s="8"/>
      <c r="Q79" s="33"/>
      <c r="R79" s="33"/>
      <c r="S79" s="11"/>
      <c r="T79" s="11"/>
      <c r="U79" s="11">
        <f>2/2*50</f>
        <v>50</v>
      </c>
      <c r="V79" s="11"/>
      <c r="W79" s="11"/>
      <c r="X79" s="11">
        <f>SUM(T79:W79)</f>
        <v>50</v>
      </c>
      <c r="Y79" s="7"/>
      <c r="Z79" s="16"/>
      <c r="AA79" s="19"/>
    </row>
    <row r="80" spans="1:27" s="38" customFormat="1" ht="24">
      <c r="A80" s="1" t="s">
        <v>123</v>
      </c>
      <c r="B80" s="33"/>
      <c r="C80" s="33"/>
      <c r="D80" s="33"/>
      <c r="E80" s="11"/>
      <c r="F80" s="11">
        <f>2/2*99</f>
        <v>99</v>
      </c>
      <c r="G80" s="11"/>
      <c r="H80" s="11"/>
      <c r="I80" s="11">
        <f>SUM(E80:H80)</f>
        <v>99</v>
      </c>
      <c r="J80" s="8"/>
      <c r="K80" s="16"/>
      <c r="L80" s="19"/>
      <c r="M80" s="24"/>
      <c r="N80" s="28"/>
      <c r="O80" s="54"/>
      <c r="P80" s="8"/>
      <c r="Q80" s="33"/>
      <c r="R80" s="33"/>
      <c r="S80" s="11"/>
      <c r="T80" s="11"/>
      <c r="U80" s="11">
        <f>2/2*99</f>
        <v>99</v>
      </c>
      <c r="V80" s="11"/>
      <c r="W80" s="11"/>
      <c r="X80" s="11">
        <f>SUM(T80:W80)</f>
        <v>99</v>
      </c>
      <c r="Y80" s="7"/>
      <c r="Z80" s="16"/>
      <c r="AA80" s="19"/>
    </row>
    <row r="81" spans="1:27" s="38" customFormat="1" ht="12.75">
      <c r="A81" s="1"/>
      <c r="B81" s="33"/>
      <c r="C81" s="33"/>
      <c r="D81" s="33"/>
      <c r="E81" s="11"/>
      <c r="F81" s="11"/>
      <c r="G81" s="11"/>
      <c r="H81" s="11"/>
      <c r="I81" s="11"/>
      <c r="J81" s="8"/>
      <c r="K81" s="16"/>
      <c r="L81" s="19"/>
      <c r="M81" s="24"/>
      <c r="N81" s="28"/>
      <c r="O81" s="54"/>
      <c r="P81" s="8"/>
      <c r="Q81" s="33"/>
      <c r="R81" s="33"/>
      <c r="S81" s="11"/>
      <c r="T81" s="11"/>
      <c r="U81" s="11"/>
      <c r="V81" s="11"/>
      <c r="W81" s="11"/>
      <c r="X81" s="11"/>
      <c r="Y81" s="7"/>
      <c r="Z81" s="16"/>
      <c r="AA81" s="19"/>
    </row>
    <row r="82" spans="1:27" s="38" customFormat="1" ht="24">
      <c r="A82" s="4" t="s">
        <v>85</v>
      </c>
      <c r="B82" s="5">
        <f>SUM(B15:B81)/2</f>
        <v>143915</v>
      </c>
      <c r="C82" s="5">
        <f>SUM(C15:C81)/2</f>
        <v>174769.94999999998</v>
      </c>
      <c r="D82" s="5">
        <f>SUM(D15:D81)/2</f>
        <v>167164.8</v>
      </c>
      <c r="E82" s="6">
        <f>SUM(E71:E81)</f>
        <v>0</v>
      </c>
      <c r="F82" s="6">
        <f>SUM(F71:F81)</f>
        <v>27865.8</v>
      </c>
      <c r="G82" s="6">
        <f>SUM(G71:G81)</f>
        <v>0</v>
      </c>
      <c r="H82" s="6"/>
      <c r="I82" s="6">
        <f>SUM(I71:I81)</f>
        <v>27865.8</v>
      </c>
      <c r="J82" s="8"/>
      <c r="K82" s="18">
        <f>SUM(K71:K81)</f>
        <v>1610453</v>
      </c>
      <c r="L82" s="22" t="e">
        <f>K82/(E82*1000)</f>
        <v>#DIV/0!</v>
      </c>
      <c r="M82" s="24"/>
      <c r="N82" s="28"/>
      <c r="O82" s="54"/>
      <c r="P82" s="8"/>
      <c r="Q82" s="33"/>
      <c r="R82" s="33"/>
      <c r="S82" s="11"/>
      <c r="T82" s="6">
        <f>SUM(T71:T81)</f>
        <v>0</v>
      </c>
      <c r="U82" s="6">
        <f>SUM(U71:U81)</f>
        <v>27865.8</v>
      </c>
      <c r="V82" s="6">
        <f>SUM(V71:V81)</f>
        <v>0</v>
      </c>
      <c r="W82" s="6"/>
      <c r="X82" s="6">
        <f>SUM(X71:X81)</f>
        <v>27865.8</v>
      </c>
      <c r="Y82" s="7"/>
      <c r="Z82" s="18">
        <f>SUM(Z71:Z81)</f>
        <v>2800000</v>
      </c>
      <c r="AA82" s="22" t="e">
        <f>Z82/(T82*1000)</f>
        <v>#DIV/0!</v>
      </c>
    </row>
    <row r="83" spans="1:27" s="38" customFormat="1" ht="12.75">
      <c r="A83" s="1"/>
      <c r="B83" s="33"/>
      <c r="C83" s="33"/>
      <c r="D83" s="33"/>
      <c r="E83" s="11"/>
      <c r="F83" s="11"/>
      <c r="G83" s="11"/>
      <c r="H83" s="11"/>
      <c r="I83" s="11"/>
      <c r="J83" s="8"/>
      <c r="K83" s="16"/>
      <c r="L83" s="19"/>
      <c r="M83" s="24"/>
      <c r="N83" s="28"/>
      <c r="O83" s="54"/>
      <c r="P83" s="8"/>
      <c r="Q83" s="33"/>
      <c r="R83" s="33"/>
      <c r="S83" s="11"/>
      <c r="T83" s="11"/>
      <c r="U83" s="11"/>
      <c r="V83" s="11"/>
      <c r="W83" s="11"/>
      <c r="X83" s="11"/>
      <c r="Y83" s="7"/>
      <c r="Z83" s="16"/>
      <c r="AA83" s="19"/>
    </row>
    <row r="84" spans="1:27" s="38" customFormat="1" ht="12.75">
      <c r="A84" s="47" t="s">
        <v>87</v>
      </c>
      <c r="B84" s="48">
        <f>SUM(B17:B83)/2</f>
        <v>215372.5</v>
      </c>
      <c r="C84" s="48">
        <f>SUM(C17:C83)/2</f>
        <v>261572.425</v>
      </c>
      <c r="D84" s="48">
        <f>SUM(D17:D83)/2</f>
        <v>250164.24999999997</v>
      </c>
      <c r="E84" s="49">
        <f>E67+E82</f>
        <v>81875</v>
      </c>
      <c r="F84" s="49">
        <f>F67+F82</f>
        <v>27865.8</v>
      </c>
      <c r="G84" s="49">
        <f>G67+G82</f>
        <v>2080</v>
      </c>
      <c r="H84" s="49"/>
      <c r="I84" s="49">
        <f>I67+I82</f>
        <v>111820.8</v>
      </c>
      <c r="J84" s="50"/>
      <c r="K84" s="51">
        <f>K67+K82</f>
        <v>3205067.73</v>
      </c>
      <c r="L84" s="52">
        <f>K84/(E84*1000)</f>
        <v>0.03914586540458015</v>
      </c>
      <c r="M84" s="24"/>
      <c r="N84" s="28"/>
      <c r="O84" s="54"/>
      <c r="P84" s="8"/>
      <c r="Q84" s="33"/>
      <c r="R84" s="33"/>
      <c r="S84" s="11"/>
      <c r="T84" s="49">
        <f>T67+T82</f>
        <v>81875.00000496913</v>
      </c>
      <c r="U84" s="49">
        <f>U67+U82</f>
        <v>27865.8</v>
      </c>
      <c r="V84" s="49">
        <f>V67+V82</f>
        <v>2080</v>
      </c>
      <c r="W84" s="49"/>
      <c r="X84" s="49">
        <f>X67+X82</f>
        <v>111820.80000496913</v>
      </c>
      <c r="Y84" s="7"/>
      <c r="Z84" s="51">
        <f>Z67+Z82</f>
        <v>7397575</v>
      </c>
      <c r="AA84" s="52">
        <f>Z84/(T84*1000)</f>
        <v>0.09035206106321866</v>
      </c>
    </row>
    <row r="85" spans="1:27" s="38" customFormat="1" ht="12.75">
      <c r="A85" s="64"/>
      <c r="B85" s="33"/>
      <c r="C85" s="33"/>
      <c r="D85" s="33"/>
      <c r="E85" s="11"/>
      <c r="F85" s="11"/>
      <c r="G85" s="11"/>
      <c r="H85" s="11"/>
      <c r="I85" s="11"/>
      <c r="J85" s="8"/>
      <c r="K85" s="16"/>
      <c r="L85" s="19"/>
      <c r="M85" s="24"/>
      <c r="N85" s="28"/>
      <c r="O85" s="54"/>
      <c r="P85" s="8"/>
      <c r="Q85" s="33"/>
      <c r="R85" s="33"/>
      <c r="S85" s="11"/>
      <c r="T85" s="11"/>
      <c r="U85" s="11"/>
      <c r="V85" s="11"/>
      <c r="W85" s="11"/>
      <c r="X85" s="11"/>
      <c r="Y85" s="7"/>
      <c r="Z85" s="16"/>
      <c r="AA85" s="19"/>
    </row>
    <row r="86" spans="1:27" s="38" customFormat="1" ht="12.75">
      <c r="A86" s="1"/>
      <c r="B86" s="33"/>
      <c r="C86" s="33"/>
      <c r="D86" s="33"/>
      <c r="E86" s="11"/>
      <c r="F86" s="11"/>
      <c r="G86" s="11"/>
      <c r="H86" s="11"/>
      <c r="I86" s="11"/>
      <c r="J86" s="8"/>
      <c r="K86" s="16">
        <f>(6874101.73-3669034)-K84</f>
        <v>0</v>
      </c>
      <c r="L86" s="19"/>
      <c r="M86" s="24"/>
      <c r="N86" s="28"/>
      <c r="O86" s="54"/>
      <c r="P86" s="8"/>
      <c r="Q86" s="33"/>
      <c r="R86" s="33"/>
      <c r="S86" s="11"/>
      <c r="T86" s="11"/>
      <c r="U86" s="11"/>
      <c r="V86" s="11"/>
      <c r="W86" s="11"/>
      <c r="X86" s="11"/>
      <c r="Y86" s="7"/>
      <c r="Z86" s="16">
        <f>(11066609-3669034)-Z84</f>
        <v>0</v>
      </c>
      <c r="AA86" s="19"/>
    </row>
    <row r="88" ht="12.75">
      <c r="Z88" s="16">
        <f>Z84-K84</f>
        <v>4192507.27</v>
      </c>
    </row>
    <row r="90" ht="14.25">
      <c r="E90" s="105" t="s">
        <v>128</v>
      </c>
    </row>
  </sheetData>
  <sheetProtection password="CC4F" sheet="1" objects="1" scenarios="1"/>
  <mergeCells count="6">
    <mergeCell ref="K3:L3"/>
    <mergeCell ref="B1:O1"/>
    <mergeCell ref="Z3:AA3"/>
    <mergeCell ref="F2:I2"/>
    <mergeCell ref="U2:X2"/>
    <mergeCell ref="T1:AA1"/>
  </mergeCells>
  <printOptions gridLines="1"/>
  <pageMargins left="0.7874015748031497" right="0" top="0.7874015748031497" bottom="0.5905511811023623" header="0.5118110236220472" footer="0.5118110236220472"/>
  <pageSetup horizontalDpi="600" verticalDpi="600" orientation="portrait" paperSize="9" scale="75" r:id="rId1"/>
  <headerFooter alignWithMargins="0">
    <oddHeader xml:space="preserve">&amp;L&amp;"Arial,tučné kurzíva"&amp;11Úprava rozpočtu MČ 2010&amp;R&amp;"Arial,tučné kurzíva"ZMČ 24.3.2010 příl  </oddHeader>
    <oddFooter>&amp;L&amp;F&amp;R&amp;P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tislovamar</cp:lastModifiedBy>
  <cp:lastPrinted>2010-04-12T11:22:45Z</cp:lastPrinted>
  <dcterms:created xsi:type="dcterms:W3CDTF">2009-11-29T19:02:18Z</dcterms:created>
  <dcterms:modified xsi:type="dcterms:W3CDTF">2010-04-12T11:31:57Z</dcterms:modified>
  <cp:category/>
  <cp:version/>
  <cp:contentType/>
  <cp:contentStatus/>
</cp:coreProperties>
</file>