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760" windowHeight="762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'List1'!$A:$A,'List1'!$1:$3</definedName>
  </definedNames>
  <calcPr fullCalcOnLoad="1"/>
</workbook>
</file>

<file path=xl/sharedStrings.xml><?xml version="1.0" encoding="utf-8"?>
<sst xmlns="http://schemas.openxmlformats.org/spreadsheetml/2006/main" count="214" uniqueCount="195">
  <si>
    <t>R 2009</t>
  </si>
  <si>
    <t>UR 2009</t>
  </si>
  <si>
    <t>předpoklad 12/2009</t>
  </si>
  <si>
    <t>3421 dětská hřiště</t>
  </si>
  <si>
    <t>3745 veř.zeleň</t>
  </si>
  <si>
    <t>3111 mat.škola</t>
  </si>
  <si>
    <t>3141 škol.jídelna</t>
  </si>
  <si>
    <t>3231 zákl.uměl.</t>
  </si>
  <si>
    <t>4351/4 přísp.stravné</t>
  </si>
  <si>
    <t>4319 soc. péče</t>
  </si>
  <si>
    <t>4329 péče o mládež</t>
  </si>
  <si>
    <t>4359 ost.soc</t>
  </si>
  <si>
    <t>4379 péče o seniory</t>
  </si>
  <si>
    <t>3313 kino</t>
  </si>
  <si>
    <t>3314 knihovna</t>
  </si>
  <si>
    <t>3319 kult.střed</t>
  </si>
  <si>
    <t>3319 kult.akce</t>
  </si>
  <si>
    <t>3412 sport.hala</t>
  </si>
  <si>
    <t>5512 dobrov.hasiči</t>
  </si>
  <si>
    <t>3612 dom.správa</t>
  </si>
  <si>
    <t>3612 bytové hosp.</t>
  </si>
  <si>
    <t>3639,3632 techn.sl</t>
  </si>
  <si>
    <t>6112 ZMČ</t>
  </si>
  <si>
    <t>6171 úřad provoz</t>
  </si>
  <si>
    <t>investiční akce</t>
  </si>
  <si>
    <t>kulturní akce</t>
  </si>
  <si>
    <t xml:space="preserve"> =1505*1,05-0,25</t>
  </si>
  <si>
    <t xml:space="preserve"> =1000*1,05</t>
  </si>
  <si>
    <t xml:space="preserve"> =12*121*(12*20)/1000+1,52</t>
  </si>
  <si>
    <t xml:space="preserve"> =2330-1432+1548</t>
  </si>
  <si>
    <t xml:space="preserve"> =(622*1,2+3,6-750)+622-255+493</t>
  </si>
  <si>
    <t xml:space="preserve"> =1828-984+1021</t>
  </si>
  <si>
    <t xml:space="preserve"> =(572*1,2+13,6-700)+572-215+353</t>
  </si>
  <si>
    <t xml:space="preserve"> =12+16</t>
  </si>
  <si>
    <t xml:space="preserve"> =35+60+40+50+150</t>
  </si>
  <si>
    <t xml:space="preserve"> =1000+8000</t>
  </si>
  <si>
    <t xml:space="preserve"> =6000*1,05</t>
  </si>
  <si>
    <t xml:space="preserve"> =18500+9756+20069+16/16*400</t>
  </si>
  <si>
    <t xml:space="preserve"> =((174,28*12+48,64)+130-2270) +2232-2102+(2091+55)</t>
  </si>
  <si>
    <t>V Ý D A J E</t>
  </si>
  <si>
    <t>P Ř Í J M Y</t>
  </si>
  <si>
    <t xml:space="preserve"> =250*1397/1000+0,75</t>
  </si>
  <si>
    <t xml:space="preserve"> =537*1397/1000-0,189</t>
  </si>
  <si>
    <t xml:space="preserve"> =480*1,05-4</t>
  </si>
  <si>
    <t xml:space="preserve"> =250+35+520+13+250+1300</t>
  </si>
  <si>
    <t xml:space="preserve"> =8408*3,728472883</t>
  </si>
  <si>
    <t xml:space="preserve"> =4662+2498+1000</t>
  </si>
  <si>
    <t xml:space="preserve"> =3096*1,05-0,8+500</t>
  </si>
  <si>
    <r>
      <t xml:space="preserve"> =3400-</t>
    </r>
    <r>
      <rPr>
        <strike/>
        <sz val="8"/>
        <rFont val="Arial"/>
        <family val="2"/>
      </rPr>
      <t>500</t>
    </r>
  </si>
  <si>
    <t>2212 silnice</t>
  </si>
  <si>
    <r>
      <t xml:space="preserve"> =500+</t>
    </r>
    <r>
      <rPr>
        <strike/>
        <sz val="8"/>
        <rFont val="Arial"/>
        <family val="2"/>
      </rPr>
      <t>100</t>
    </r>
  </si>
  <si>
    <r>
      <t xml:space="preserve"> =</t>
    </r>
    <r>
      <rPr>
        <strike/>
        <sz val="8"/>
        <rFont val="Arial"/>
        <family val="2"/>
      </rPr>
      <t>500</t>
    </r>
    <r>
      <rPr>
        <sz val="8"/>
        <rFont val="Arial"/>
        <family val="0"/>
      </rPr>
      <t>+100</t>
    </r>
  </si>
  <si>
    <t>Rozpočet 2010</t>
  </si>
  <si>
    <t>3121 gymnazium</t>
  </si>
  <si>
    <t>ŠJ objekt</t>
  </si>
  <si>
    <t>Účelové prostředky poskytnuté státem a HMP:</t>
  </si>
  <si>
    <t>účelové dotace CELKEM</t>
  </si>
  <si>
    <t>MČ vlastní CELKEM</t>
  </si>
  <si>
    <t>MČ P 16 CELKEM</t>
  </si>
  <si>
    <r>
      <t xml:space="preserve"> =</t>
    </r>
    <r>
      <rPr>
        <strike/>
        <sz val="8"/>
        <rFont val="Arial"/>
        <family val="2"/>
      </rPr>
      <t>100</t>
    </r>
    <r>
      <rPr>
        <sz val="8"/>
        <rFont val="Arial"/>
        <family val="0"/>
      </rPr>
      <t>+100</t>
    </r>
  </si>
  <si>
    <t>4351/1 DPS čp. 461</t>
  </si>
  <si>
    <r>
      <t xml:space="preserve"> =100+</t>
    </r>
    <r>
      <rPr>
        <strike/>
        <sz val="8"/>
        <rFont val="Arial"/>
        <family val="2"/>
      </rPr>
      <t>100</t>
    </r>
  </si>
  <si>
    <t>org 2 osvětl.kostela</t>
  </si>
  <si>
    <t>org 16 Noviny P 16</t>
  </si>
  <si>
    <t>6171 objekt 732</t>
  </si>
  <si>
    <r>
      <t xml:space="preserve"> =</t>
    </r>
    <r>
      <rPr>
        <strike/>
        <sz val="8"/>
        <rFont val="Arial"/>
        <family val="2"/>
      </rPr>
      <t>380</t>
    </r>
    <r>
      <rPr>
        <sz val="8"/>
        <rFont val="Arial"/>
        <family val="0"/>
      </rPr>
      <t>+530+</t>
    </r>
    <r>
      <rPr>
        <strike/>
        <sz val="8"/>
        <rFont val="Arial"/>
        <family val="2"/>
      </rPr>
      <t>150</t>
    </r>
  </si>
  <si>
    <r>
      <t xml:space="preserve"> =380+</t>
    </r>
    <r>
      <rPr>
        <strike/>
        <sz val="8"/>
        <rFont val="Arial"/>
        <family val="2"/>
      </rPr>
      <t>530+150</t>
    </r>
  </si>
  <si>
    <r>
      <t xml:space="preserve"> =</t>
    </r>
    <r>
      <rPr>
        <strike/>
        <sz val="8"/>
        <rFont val="Arial"/>
        <family val="2"/>
      </rPr>
      <t>380+530</t>
    </r>
    <r>
      <rPr>
        <sz val="8"/>
        <rFont val="Arial"/>
        <family val="0"/>
      </rPr>
      <t>+150</t>
    </r>
  </si>
  <si>
    <t>4 NZZ 153 kluz</t>
  </si>
  <si>
    <t>org 241209 vánoce</t>
  </si>
  <si>
    <t xml:space="preserve"> =((16/8408*3024/100-257,92)+ ((22683*551,697-145,26)+                                36,145*157974,907-3,001))/1000</t>
  </si>
  <si>
    <t xml:space="preserve"> =2008/*(14000*3/4*110%-11550*0-550)</t>
  </si>
  <si>
    <t>vlastní úpravy MČ</t>
  </si>
  <si>
    <t>upravený rozpočet</t>
  </si>
  <si>
    <t>stát:</t>
  </si>
  <si>
    <t>HMP:</t>
  </si>
  <si>
    <t>xxxx mobiliář RMČ 1188/82/2009</t>
  </si>
  <si>
    <t>3113 zákl.škola + RMČ 1264/88/2010</t>
  </si>
  <si>
    <t>MŠ objekt</t>
  </si>
  <si>
    <t xml:space="preserve">     mzdy samospráva</t>
  </si>
  <si>
    <t xml:space="preserve">     mzdy st.správa</t>
  </si>
  <si>
    <t xml:space="preserve">     mzdy SPOD</t>
  </si>
  <si>
    <t xml:space="preserve">     mzdy soc.péče</t>
  </si>
  <si>
    <t xml:space="preserve">     náklady soc.agendy</t>
  </si>
  <si>
    <t>1517 MMB</t>
  </si>
  <si>
    <t>dat.schr. 011109</t>
  </si>
  <si>
    <t>výsledek:</t>
  </si>
  <si>
    <t>4351/2 NDPS čp 1522</t>
  </si>
  <si>
    <t>R 90,0 přesun na ORJ 02</t>
  </si>
  <si>
    <t>R 90,0 přesun z ORJ 03</t>
  </si>
  <si>
    <r>
      <t xml:space="preserve">02 </t>
    </r>
    <r>
      <rPr>
        <sz val="9"/>
        <rFont val="Arial"/>
        <family val="0"/>
      </rPr>
      <t>provoz Sběrn.dv</t>
    </r>
  </si>
  <si>
    <t>dotace stát:</t>
  </si>
  <si>
    <t>vratky dávek:</t>
  </si>
  <si>
    <t>05 MPSV grant PS</t>
  </si>
  <si>
    <t>4112 dotace stát:</t>
  </si>
  <si>
    <t xml:space="preserve">2141 úroky: </t>
  </si>
  <si>
    <t>2460 splátky půjček SFZ:</t>
  </si>
  <si>
    <t>6171 objekt 21</t>
  </si>
  <si>
    <t xml:space="preserve">2210 sankce: </t>
  </si>
  <si>
    <r>
      <t>dary</t>
    </r>
    <r>
      <rPr>
        <sz val="7"/>
        <rFont val="Arial"/>
        <family val="2"/>
      </rPr>
      <t xml:space="preserve"> 2321 neinv 3121 inv 4129 SO: </t>
    </r>
  </si>
  <si>
    <t xml:space="preserve">2212 sankce - splátky: </t>
  </si>
  <si>
    <t>2343 dobýv.prostor:</t>
  </si>
  <si>
    <t>2329 nahodilé (z r. 2009):</t>
  </si>
  <si>
    <t>1341-5,7,51 místní poplatky:</t>
  </si>
  <si>
    <t>1361 správní poplatky:</t>
  </si>
  <si>
    <t>1511 daň z nemovitostí:</t>
  </si>
  <si>
    <t>4121 HMP dotace:</t>
  </si>
  <si>
    <t>4121 výnos DPPO za r. 2009:</t>
  </si>
  <si>
    <t>4131 z účtu ekon.činnosti:</t>
  </si>
  <si>
    <t>2221 FV 2009:</t>
  </si>
  <si>
    <t>2328 neidentifkované příjmy:</t>
  </si>
  <si>
    <t>02 org 41083 mobiliář</t>
  </si>
  <si>
    <t>04 org 41082 MŠ zateplení</t>
  </si>
  <si>
    <t>04 org 41144 ZŠ dráha</t>
  </si>
  <si>
    <t>04 ZŠ integrace</t>
  </si>
  <si>
    <t>3319 letopis.komise</t>
  </si>
  <si>
    <t>3319 kronika</t>
  </si>
  <si>
    <t>05   SOC. A  ZDRAV.</t>
  </si>
  <si>
    <t>06   KULTURA  A  SPORT</t>
  </si>
  <si>
    <t>07   B E Z P E Č N O S T</t>
  </si>
  <si>
    <t>04   Š K O L S T V Í</t>
  </si>
  <si>
    <t>02   ROZVOJ  OBCE</t>
  </si>
  <si>
    <t>03   D O P R A V A</t>
  </si>
  <si>
    <t>09   VNITŘNÍ  SPRÁVA</t>
  </si>
  <si>
    <t>10   FINANCOVÁNÍ</t>
  </si>
  <si>
    <t>3421 org 11106 Skatepark</t>
  </si>
  <si>
    <t>04 org 41145 ZŠ doskočiště, hřiště</t>
  </si>
  <si>
    <r>
      <t>2310</t>
    </r>
    <r>
      <rPr>
        <sz val="8"/>
        <rFont val="Arial"/>
        <family val="0"/>
      </rPr>
      <t xml:space="preserve"> voda</t>
    </r>
  </si>
  <si>
    <r>
      <t>2321</t>
    </r>
    <r>
      <rPr>
        <sz val="8"/>
        <rFont val="Arial"/>
        <family val="0"/>
      </rPr>
      <t xml:space="preserve"> odp. voda </t>
    </r>
    <r>
      <rPr>
        <sz val="9"/>
        <rFont val="Arial"/>
        <family val="0"/>
      </rPr>
      <t>3722</t>
    </r>
    <r>
      <rPr>
        <sz val="8"/>
        <rFont val="Arial"/>
        <family val="0"/>
      </rPr>
      <t xml:space="preserve"> odpady</t>
    </r>
  </si>
  <si>
    <r>
      <t xml:space="preserve">2219 ost.zál.komun </t>
    </r>
    <r>
      <rPr>
        <sz val="8"/>
        <rFont val="Arial"/>
        <family val="0"/>
      </rPr>
      <t>vč osvětl SH</t>
    </r>
  </si>
  <si>
    <t>05 Hmotná nouze a ZP UZ 13306</t>
  </si>
  <si>
    <t>05 Příspěvek na péči UZ 13235</t>
  </si>
  <si>
    <r>
      <t>05 SOC</t>
    </r>
    <r>
      <rPr>
        <sz val="8"/>
        <rFont val="Arial"/>
        <family val="0"/>
      </rPr>
      <t xml:space="preserve"> inval -dar.sml</t>
    </r>
  </si>
  <si>
    <t>09 výkon agendy SPOD</t>
  </si>
  <si>
    <t>09 výkon agendy soc.sl</t>
  </si>
  <si>
    <t>06 knižní fond</t>
  </si>
  <si>
    <t>05 prevence protidrog SO P 16</t>
  </si>
  <si>
    <t>04 prevence protidrog ZŠ</t>
  </si>
  <si>
    <t>09 ZOZ</t>
  </si>
  <si>
    <t>03 org 40958 pěší propoj</t>
  </si>
  <si>
    <t>FV 2009:</t>
  </si>
  <si>
    <t>vlastní úpravy MČ 9/2010</t>
  </si>
  <si>
    <r>
      <t xml:space="preserve">3412 sportoviště </t>
    </r>
    <r>
      <rPr>
        <strike/>
        <sz val="7"/>
        <rFont val="Arial"/>
        <family val="2"/>
      </rPr>
      <t>3421 dětská hřiště</t>
    </r>
  </si>
  <si>
    <t>04 ZŠ oprava římsy</t>
  </si>
  <si>
    <t>07 JSDH činnost</t>
  </si>
  <si>
    <t>úprava rozpočtu HMP, stát</t>
  </si>
  <si>
    <t>vlastní úpravy MČ 3,6/2010</t>
  </si>
  <si>
    <t>3636 územní rozvoj</t>
  </si>
  <si>
    <t>01   ÚZEMNÍ   ROZVOJ</t>
  </si>
  <si>
    <t>ZŠ dofinanc hřiště,dráha,doskočiště</t>
  </si>
  <si>
    <t>FV 2009 SPOD:</t>
  </si>
  <si>
    <t xml:space="preserve">Radotínská o.p.s. vratka půjčky: </t>
  </si>
  <si>
    <t>HMP</t>
  </si>
  <si>
    <t>08    HOSPODÁŘSTVÍ</t>
  </si>
  <si>
    <t>výsledek vlastní MČ:</t>
  </si>
  <si>
    <t xml:space="preserve">  12/12 =</t>
  </si>
  <si>
    <t>Skutečnost 1-12/2010</t>
  </si>
  <si>
    <t>vlastní úpravy MČ 12/2010</t>
  </si>
  <si>
    <t>3722 Sběrný dvůr dofin MČ</t>
  </si>
  <si>
    <t>org 241210 vánoce</t>
  </si>
  <si>
    <t>SPOD z 732:</t>
  </si>
  <si>
    <t>SPOD provoz:</t>
  </si>
  <si>
    <t>SPOD celkem:</t>
  </si>
  <si>
    <t>SPOD mzdy:</t>
  </si>
  <si>
    <t>SPOD UZ:</t>
  </si>
  <si>
    <t>soc.péče celkem:</t>
  </si>
  <si>
    <t>z toho PS:</t>
  </si>
  <si>
    <t>dávky rozpočet</t>
  </si>
  <si>
    <t>dávky skutečnost</t>
  </si>
  <si>
    <t>UZ 091:</t>
  </si>
  <si>
    <t>UZ 084:</t>
  </si>
  <si>
    <t>UZ 081:</t>
  </si>
  <si>
    <t>granty provoz:</t>
  </si>
  <si>
    <t>granty invest:</t>
  </si>
  <si>
    <t>vč.Cinemas 62.912,12</t>
  </si>
  <si>
    <t>nesplněna DzN:</t>
  </si>
  <si>
    <t>09 SLBD příprava 2011</t>
  </si>
  <si>
    <t>stát</t>
  </si>
  <si>
    <t>ZMČ 20.12.2010 (+ inf ZMČ 23.3.2011)</t>
  </si>
  <si>
    <r>
      <t xml:space="preserve">2212 </t>
    </r>
    <r>
      <rPr>
        <sz val="9"/>
        <rFont val="Arial"/>
        <family val="2"/>
      </rPr>
      <t>p</t>
    </r>
    <r>
      <rPr>
        <sz val="8"/>
        <rFont val="Arial"/>
        <family val="2"/>
      </rPr>
      <t>ěší propoj org 40958 + org 36122 Park. U DS</t>
    </r>
  </si>
  <si>
    <r>
      <t xml:space="preserve">2212 org 4787 kontejn.st. </t>
    </r>
    <r>
      <rPr>
        <sz val="9"/>
        <rFont val="Arial"/>
        <family val="2"/>
      </rPr>
      <t>UR UZ 099</t>
    </r>
  </si>
  <si>
    <r>
      <t xml:space="preserve">MŠ rozšíření tříd </t>
    </r>
    <r>
      <rPr>
        <sz val="9"/>
        <rFont val="Arial"/>
        <family val="2"/>
      </rPr>
      <t>UZ 099+zatepl</t>
    </r>
  </si>
  <si>
    <r>
      <t xml:space="preserve">ZŠ objekty </t>
    </r>
    <r>
      <rPr>
        <sz val="8"/>
        <rFont val="Arial"/>
        <family val="2"/>
      </rPr>
      <t>vč investice 15.600 UR UZ 099</t>
    </r>
  </si>
  <si>
    <r>
      <t>3539 org 1100 NZ</t>
    </r>
    <r>
      <rPr>
        <sz val="8"/>
        <rFont val="Arial"/>
        <family val="2"/>
      </rPr>
      <t>Z digit.rent UR UZ 099</t>
    </r>
  </si>
  <si>
    <r>
      <t xml:space="preserve">4351 peč.služba                        </t>
    </r>
    <r>
      <rPr>
        <sz val="9"/>
        <rFont val="Arial"/>
        <family val="2"/>
      </rPr>
      <t xml:space="preserve"> včetně 3/SZ žaluzie</t>
    </r>
  </si>
  <si>
    <r>
      <t>3319 kult.střed</t>
    </r>
    <r>
      <rPr>
        <sz val="8"/>
        <rFont val="Arial"/>
        <family val="2"/>
      </rPr>
      <t xml:space="preserve"> rekonstr UR UZ 099</t>
    </r>
  </si>
  <si>
    <r>
      <t xml:space="preserve">záplavy </t>
    </r>
    <r>
      <rPr>
        <sz val="8"/>
        <rFont val="Arial"/>
        <family val="2"/>
      </rPr>
      <t>Hrádek n/N usn RMČ 2398/2010</t>
    </r>
  </si>
  <si>
    <r>
      <t xml:space="preserve">6171 objekt 23 </t>
    </r>
    <r>
      <rPr>
        <sz val="8"/>
        <rFont val="Arial"/>
        <family val="2"/>
      </rPr>
      <t>v tom sv.síň 14.730,00</t>
    </r>
  </si>
  <si>
    <r>
      <t xml:space="preserve">dary 2322 </t>
    </r>
    <r>
      <rPr>
        <sz val="8"/>
        <rFont val="Arial"/>
        <family val="2"/>
      </rPr>
      <t>poj.plnění</t>
    </r>
  </si>
  <si>
    <r>
      <t>různé organizační</t>
    </r>
    <r>
      <rPr>
        <sz val="8"/>
        <rFont val="Arial"/>
        <family val="2"/>
      </rPr>
      <t xml:space="preserve"> vč.kompenz nákladů na výměnu oken Sídliště</t>
    </r>
  </si>
  <si>
    <r>
      <t xml:space="preserve">09 správa volby </t>
    </r>
    <r>
      <rPr>
        <sz val="7"/>
        <rFont val="Arial"/>
        <family val="2"/>
      </rPr>
      <t>PS 6114 UZ 98071</t>
    </r>
  </si>
  <si>
    <r>
      <t xml:space="preserve">09 správa volby </t>
    </r>
    <r>
      <rPr>
        <sz val="7"/>
        <rFont val="Arial"/>
        <family val="2"/>
      </rPr>
      <t>komun 6115 UZ 98187</t>
    </r>
  </si>
  <si>
    <r>
      <t>09 Grant soc.péče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org 2364xx1,3</t>
    </r>
  </si>
  <si>
    <r>
      <t>04 ZŠ integrace</t>
    </r>
    <r>
      <rPr>
        <sz val="9"/>
        <rFont val="Arial"/>
        <family val="2"/>
      </rPr>
      <t xml:space="preserve"> UZ 091</t>
    </r>
  </si>
  <si>
    <r>
      <t xml:space="preserve">04 MŠ integrace </t>
    </r>
    <r>
      <rPr>
        <sz val="9"/>
        <rFont val="Arial"/>
        <family val="2"/>
      </rPr>
      <t>UZ 091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</si>
</sst>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"/>
    <numFmt numFmtId="167" formatCode="0.000000"/>
    <numFmt numFmtId="168" formatCode="0.00000"/>
    <numFmt numFmtId="169" formatCode="0.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i/>
      <sz val="8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trike/>
      <sz val="9"/>
      <name val="Arial"/>
      <family val="0"/>
    </font>
    <font>
      <b/>
      <sz val="9"/>
      <name val="Arial"/>
      <family val="0"/>
    </font>
    <font>
      <b/>
      <sz val="7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trike/>
      <sz val="7"/>
      <name val="Arial"/>
      <family val="2"/>
    </font>
    <font>
      <b/>
      <i/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64" fontId="3" fillId="2" borderId="0" xfId="0" applyNumberFormat="1" applyFont="1" applyFill="1" applyAlignment="1">
      <alignment/>
    </xf>
    <xf numFmtId="164" fontId="3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3" borderId="0" xfId="0" applyNumberFormat="1" applyFont="1" applyFill="1" applyAlignment="1">
      <alignment/>
    </xf>
    <xf numFmtId="164" fontId="3" fillId="3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wrapText="1"/>
    </xf>
    <xf numFmtId="4" fontId="2" fillId="0" borderId="0" xfId="0" applyNumberFormat="1" applyFont="1" applyAlignment="1">
      <alignment/>
    </xf>
    <xf numFmtId="16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10" fillId="3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wrapText="1"/>
    </xf>
    <xf numFmtId="164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/>
    </xf>
    <xf numFmtId="0" fontId="12" fillId="2" borderId="0" xfId="0" applyFont="1" applyFill="1" applyAlignment="1">
      <alignment wrapText="1"/>
    </xf>
    <xf numFmtId="0" fontId="12" fillId="3" borderId="0" xfId="0" applyFont="1" applyFill="1" applyAlignment="1">
      <alignment wrapText="1"/>
    </xf>
    <xf numFmtId="0" fontId="0" fillId="0" borderId="0" xfId="0" applyFont="1" applyAlignment="1">
      <alignment/>
    </xf>
    <xf numFmtId="4" fontId="13" fillId="0" borderId="0" xfId="0" applyNumberFormat="1" applyFont="1" applyFill="1" applyBorder="1" applyAlignment="1">
      <alignment/>
    </xf>
    <xf numFmtId="2" fontId="2" fillId="4" borderId="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164" fontId="2" fillId="5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10" fontId="7" fillId="0" borderId="0" xfId="0" applyNumberFormat="1" applyFont="1" applyFill="1" applyBorder="1" applyAlignment="1">
      <alignment/>
    </xf>
    <xf numFmtId="10" fontId="17" fillId="0" borderId="0" xfId="0" applyNumberFormat="1" applyFont="1" applyFill="1" applyBorder="1" applyAlignment="1">
      <alignment/>
    </xf>
    <xf numFmtId="10" fontId="7" fillId="0" borderId="0" xfId="0" applyNumberFormat="1" applyFont="1" applyBorder="1" applyAlignment="1">
      <alignment/>
    </xf>
    <xf numFmtId="10" fontId="17" fillId="2" borderId="0" xfId="0" applyNumberFormat="1" applyFont="1" applyFill="1" applyBorder="1" applyAlignment="1">
      <alignment/>
    </xf>
    <xf numFmtId="10" fontId="7" fillId="3" borderId="0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16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/>
    </xf>
    <xf numFmtId="164" fontId="3" fillId="6" borderId="0" xfId="0" applyNumberFormat="1" applyFont="1" applyFill="1" applyBorder="1" applyAlignment="1">
      <alignment/>
    </xf>
    <xf numFmtId="4" fontId="3" fillId="6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wrapText="1"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7" fillId="0" borderId="0" xfId="0" applyNumberFormat="1" applyFont="1" applyFill="1" applyAlignment="1">
      <alignment horizontal="center"/>
    </xf>
    <xf numFmtId="10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2" fontId="2" fillId="4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0" fontId="1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4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4" fontId="2" fillId="4" borderId="0" xfId="0" applyNumberFormat="1" applyFont="1" applyFill="1" applyBorder="1" applyAlignment="1">
      <alignment/>
    </xf>
    <xf numFmtId="164" fontId="0" fillId="7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2" fillId="4" borderId="0" xfId="0" applyNumberFormat="1" applyFont="1" applyFill="1" applyBorder="1" applyAlignment="1">
      <alignment/>
    </xf>
    <xf numFmtId="164" fontId="0" fillId="7" borderId="0" xfId="0" applyNumberFormat="1" applyFont="1" applyFill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64" fontId="0" fillId="0" borderId="0" xfId="0" applyNumberFormat="1" applyFont="1" applyAlignment="1">
      <alignment/>
    </xf>
    <xf numFmtId="4" fontId="1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wrapText="1"/>
    </xf>
    <xf numFmtId="166" fontId="2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6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" fontId="2" fillId="7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4" fontId="2" fillId="5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0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4" borderId="0" xfId="0" applyFont="1" applyFill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8"/>
  <sheetViews>
    <sheetView tabSelected="1" zoomScale="85" zoomScaleNormal="85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B42" sqref="AB42"/>
    </sheetView>
  </sheetViews>
  <sheetFormatPr defaultColWidth="9.140625" defaultRowHeight="12.75"/>
  <cols>
    <col min="1" max="1" width="22.7109375" style="1" customWidth="1"/>
    <col min="2" max="2" width="11.00390625" style="17" hidden="1" customWidth="1"/>
    <col min="3" max="3" width="8.00390625" style="17" hidden="1" customWidth="1"/>
    <col min="4" max="4" width="9.8515625" style="17" hidden="1" customWidth="1"/>
    <col min="5" max="5" width="8.7109375" style="10" customWidth="1"/>
    <col min="6" max="7" width="8.8515625" style="10" customWidth="1"/>
    <col min="8" max="9" width="8.7109375" style="11" customWidth="1"/>
    <col min="10" max="10" width="8.7109375" style="10" hidden="1" customWidth="1"/>
    <col min="11" max="11" width="11.00390625" style="10" customWidth="1"/>
    <col min="12" max="12" width="26.421875" style="7" hidden="1" customWidth="1"/>
    <col min="13" max="13" width="13.8515625" style="14" bestFit="1" customWidth="1"/>
    <col min="14" max="14" width="7.7109375" style="72" customWidth="1"/>
    <col min="15" max="15" width="11.28125" style="33" hidden="1" customWidth="1"/>
    <col min="16" max="16" width="23.28125" style="7" customWidth="1"/>
    <col min="17" max="18" width="10.7109375" style="17" hidden="1" customWidth="1"/>
    <col min="19" max="19" width="10.7109375" style="10" hidden="1" customWidth="1"/>
    <col min="20" max="20" width="10.7109375" style="10" customWidth="1"/>
    <col min="21" max="21" width="8.140625" style="10" customWidth="1"/>
    <col min="22" max="22" width="9.00390625" style="10" customWidth="1"/>
    <col min="23" max="24" width="8.7109375" style="10" customWidth="1"/>
    <col min="25" max="25" width="8.7109375" style="10" hidden="1" customWidth="1"/>
    <col min="26" max="26" width="9.28125" style="10" customWidth="1"/>
    <col min="27" max="27" width="28.7109375" style="6" hidden="1" customWidth="1"/>
    <col min="28" max="28" width="13.7109375" style="28" bestFit="1" customWidth="1"/>
    <col min="29" max="29" width="9.421875" style="77" bestFit="1" customWidth="1"/>
    <col min="30" max="30" width="0" style="53" hidden="1" customWidth="1"/>
    <col min="31" max="31" width="12.7109375" style="53" customWidth="1"/>
    <col min="32" max="16384" width="9.140625" style="53" customWidth="1"/>
  </cols>
  <sheetData>
    <row r="1" spans="1:31" ht="12.75">
      <c r="A1" s="57"/>
      <c r="B1" s="29" t="s">
        <v>39</v>
      </c>
      <c r="C1" s="99"/>
      <c r="D1" s="99"/>
      <c r="E1" s="161" t="s">
        <v>39</v>
      </c>
      <c r="F1" s="162"/>
      <c r="G1" s="162"/>
      <c r="H1" s="162"/>
      <c r="I1" s="162"/>
      <c r="J1" s="162"/>
      <c r="K1" s="162"/>
      <c r="L1" s="162"/>
      <c r="M1" s="162"/>
      <c r="N1" s="162"/>
      <c r="O1" s="100"/>
      <c r="P1" s="57"/>
      <c r="Q1" s="29" t="s">
        <v>40</v>
      </c>
      <c r="R1" s="99"/>
      <c r="S1" s="99"/>
      <c r="T1" s="161" t="s">
        <v>40</v>
      </c>
      <c r="U1" s="162"/>
      <c r="V1" s="162"/>
      <c r="W1" s="162"/>
      <c r="X1" s="162"/>
      <c r="Y1" s="162"/>
      <c r="Z1" s="162"/>
      <c r="AA1" s="162"/>
      <c r="AB1" s="162"/>
      <c r="AC1" s="162"/>
      <c r="AD1" s="101"/>
      <c r="AE1" s="14"/>
    </row>
    <row r="2" spans="1:31" ht="12.75" customHeight="1">
      <c r="A2" s="57"/>
      <c r="B2" s="29"/>
      <c r="C2" s="30"/>
      <c r="D2" s="30"/>
      <c r="E2" s="30"/>
      <c r="F2" s="163" t="s">
        <v>178</v>
      </c>
      <c r="G2" s="163"/>
      <c r="H2" s="163"/>
      <c r="I2" s="163"/>
      <c r="J2" s="163"/>
      <c r="K2" s="163"/>
      <c r="L2" s="102"/>
      <c r="M2" s="103" t="s">
        <v>155</v>
      </c>
      <c r="N2" s="104">
        <f>12/12</f>
        <v>1</v>
      </c>
      <c r="O2" s="100"/>
      <c r="P2" s="14"/>
      <c r="Q2" s="29"/>
      <c r="R2" s="29"/>
      <c r="S2" s="29"/>
      <c r="T2" s="29"/>
      <c r="U2" s="163" t="s">
        <v>178</v>
      </c>
      <c r="V2" s="163"/>
      <c r="W2" s="163"/>
      <c r="X2" s="163"/>
      <c r="Y2" s="163"/>
      <c r="Z2" s="163"/>
      <c r="AA2" s="102"/>
      <c r="AB2" s="103" t="s">
        <v>155</v>
      </c>
      <c r="AC2" s="104">
        <f>12/12</f>
        <v>1</v>
      </c>
      <c r="AD2" s="105"/>
      <c r="AE2" s="106"/>
    </row>
    <row r="3" spans="1:29" s="44" customFormat="1" ht="45">
      <c r="A3" s="28"/>
      <c r="B3" s="22" t="s">
        <v>0</v>
      </c>
      <c r="C3" s="22" t="s">
        <v>1</v>
      </c>
      <c r="D3" s="22" t="s">
        <v>2</v>
      </c>
      <c r="E3" s="37" t="s">
        <v>52</v>
      </c>
      <c r="F3" s="58" t="s">
        <v>145</v>
      </c>
      <c r="G3" s="58" t="s">
        <v>146</v>
      </c>
      <c r="H3" s="58" t="s">
        <v>141</v>
      </c>
      <c r="I3" s="58" t="s">
        <v>157</v>
      </c>
      <c r="J3" s="22"/>
      <c r="K3" s="43" t="s">
        <v>73</v>
      </c>
      <c r="L3" s="23"/>
      <c r="M3" s="164" t="s">
        <v>156</v>
      </c>
      <c r="N3" s="165"/>
      <c r="O3" s="107"/>
      <c r="P3" s="14"/>
      <c r="Q3" s="22" t="s">
        <v>0</v>
      </c>
      <c r="R3" s="22" t="s">
        <v>1</v>
      </c>
      <c r="S3" s="22" t="s">
        <v>2</v>
      </c>
      <c r="T3" s="37" t="s">
        <v>52</v>
      </c>
      <c r="U3" s="58" t="s">
        <v>145</v>
      </c>
      <c r="V3" s="58" t="s">
        <v>146</v>
      </c>
      <c r="W3" s="58" t="s">
        <v>141</v>
      </c>
      <c r="X3" s="58" t="s">
        <v>157</v>
      </c>
      <c r="Y3" s="58" t="s">
        <v>72</v>
      </c>
      <c r="Z3" s="43" t="s">
        <v>73</v>
      </c>
      <c r="AA3" s="24"/>
      <c r="AB3" s="164" t="s">
        <v>156</v>
      </c>
      <c r="AC3" s="165"/>
    </row>
    <row r="4" spans="1:29" s="44" customFormat="1" ht="12.75">
      <c r="A4" s="1" t="s">
        <v>147</v>
      </c>
      <c r="B4" s="17"/>
      <c r="C4" s="17"/>
      <c r="D4" s="17"/>
      <c r="E4" s="10"/>
      <c r="F4" s="10"/>
      <c r="G4" s="10"/>
      <c r="H4" s="11"/>
      <c r="I4" s="11">
        <v>30</v>
      </c>
      <c r="J4" s="10"/>
      <c r="K4" s="10">
        <f>SUM(E4:J4)</f>
        <v>30</v>
      </c>
      <c r="L4" s="7"/>
      <c r="M4" s="14">
        <f>9/9*6204*0+10/10*29964</f>
        <v>29964</v>
      </c>
      <c r="N4" s="72">
        <f>M4/(K4*1000)</f>
        <v>0.9988</v>
      </c>
      <c r="O4" s="107"/>
      <c r="P4" s="14"/>
      <c r="Q4" s="22"/>
      <c r="R4" s="22"/>
      <c r="S4" s="22"/>
      <c r="T4" s="37"/>
      <c r="U4" s="58"/>
      <c r="V4" s="58"/>
      <c r="W4" s="58"/>
      <c r="X4" s="58"/>
      <c r="Y4" s="58"/>
      <c r="Z4" s="43"/>
      <c r="AA4" s="24"/>
      <c r="AB4" s="87"/>
      <c r="AC4" s="86"/>
    </row>
    <row r="5" spans="1:29" s="44" customFormat="1" ht="12.75" hidden="1">
      <c r="A5" s="28"/>
      <c r="B5" s="22"/>
      <c r="C5" s="22"/>
      <c r="D5" s="22"/>
      <c r="E5" s="37"/>
      <c r="F5" s="58"/>
      <c r="G5" s="58"/>
      <c r="H5" s="58"/>
      <c r="I5" s="58"/>
      <c r="J5" s="22"/>
      <c r="K5" s="43"/>
      <c r="L5" s="23"/>
      <c r="M5" s="87"/>
      <c r="N5" s="86"/>
      <c r="O5" s="107"/>
      <c r="P5" s="14"/>
      <c r="Q5" s="22"/>
      <c r="R5" s="22"/>
      <c r="S5" s="22"/>
      <c r="T5" s="37"/>
      <c r="U5" s="58"/>
      <c r="V5" s="58"/>
      <c r="W5" s="58"/>
      <c r="X5" s="58"/>
      <c r="Y5" s="58"/>
      <c r="Z5" s="43"/>
      <c r="AA5" s="24"/>
      <c r="AB5" s="87"/>
      <c r="AC5" s="86"/>
    </row>
    <row r="6" spans="1:31" s="44" customFormat="1" ht="12.75">
      <c r="A6" s="47" t="s">
        <v>148</v>
      </c>
      <c r="B6" s="108">
        <f aca="true" t="shared" si="0" ref="B6:I6">SUM(B4:B5)</f>
        <v>0</v>
      </c>
      <c r="C6" s="108">
        <f t="shared" si="0"/>
        <v>0</v>
      </c>
      <c r="D6" s="108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  <c r="H6" s="110">
        <f t="shared" si="0"/>
        <v>0</v>
      </c>
      <c r="I6" s="110">
        <f t="shared" si="0"/>
        <v>30</v>
      </c>
      <c r="J6" s="109"/>
      <c r="K6" s="109">
        <f>SUM(K4:K5)</f>
        <v>30</v>
      </c>
      <c r="L6" s="7"/>
      <c r="M6" s="96">
        <f>SUM(M4:M5)</f>
        <v>29964</v>
      </c>
      <c r="N6" s="73"/>
      <c r="O6" s="111">
        <f>2/2*38597.05-M6</f>
        <v>8633.050000000003</v>
      </c>
      <c r="P6" s="112">
        <f>K6-12/12*30+(M6-9/9*6204*0-10/10*29964)</f>
        <v>0</v>
      </c>
      <c r="Q6" s="108">
        <f aca="true" t="shared" si="1" ref="Q6:Z6">SUM(Q4:Q5)</f>
        <v>0</v>
      </c>
      <c r="R6" s="108">
        <f t="shared" si="1"/>
        <v>0</v>
      </c>
      <c r="S6" s="109">
        <f t="shared" si="1"/>
        <v>0</v>
      </c>
      <c r="T6" s="109">
        <f t="shared" si="1"/>
        <v>0</v>
      </c>
      <c r="U6" s="109">
        <f t="shared" si="1"/>
        <v>0</v>
      </c>
      <c r="V6" s="109">
        <f t="shared" si="1"/>
        <v>0</v>
      </c>
      <c r="W6" s="109">
        <f t="shared" si="1"/>
        <v>0</v>
      </c>
      <c r="X6" s="109">
        <f t="shared" si="1"/>
        <v>0</v>
      </c>
      <c r="Y6" s="109">
        <f t="shared" si="1"/>
        <v>0</v>
      </c>
      <c r="Z6" s="109">
        <f t="shared" si="1"/>
        <v>0</v>
      </c>
      <c r="AA6" s="6"/>
      <c r="AB6" s="113">
        <f>SUM(AB4:AB5)</f>
        <v>0</v>
      </c>
      <c r="AC6" s="73"/>
      <c r="AD6" s="114"/>
      <c r="AE6" s="112">
        <f>Z6-3/3*0+(AB6-3/3*0)</f>
        <v>0</v>
      </c>
    </row>
    <row r="7" spans="1:29" s="21" customFormat="1" ht="12.75">
      <c r="A7" s="1" t="s">
        <v>3</v>
      </c>
      <c r="B7" s="17"/>
      <c r="C7" s="17">
        <v>18</v>
      </c>
      <c r="D7" s="17">
        <v>17.7</v>
      </c>
      <c r="E7" s="10">
        <v>20</v>
      </c>
      <c r="F7" s="10"/>
      <c r="G7" s="10"/>
      <c r="H7" s="11">
        <f>2209/2209*90</f>
        <v>90</v>
      </c>
      <c r="I7" s="11">
        <v>281</v>
      </c>
      <c r="J7" s="10"/>
      <c r="K7" s="10">
        <f aca="true" t="shared" si="2" ref="K7:K13">SUM(E7:J7)</f>
        <v>391</v>
      </c>
      <c r="L7" s="7"/>
      <c r="M7" s="14">
        <f>4/4*5418*0+5/5*23040*0+6/6*13218*0+7/7*21171*0+10/10*391022</f>
        <v>391022</v>
      </c>
      <c r="N7" s="72">
        <f aca="true" t="shared" si="3" ref="N7:N15">M7/(K7*1000)</f>
        <v>1.0000562659846548</v>
      </c>
      <c r="O7" s="33"/>
      <c r="P7" s="7"/>
      <c r="Q7" s="17"/>
      <c r="R7" s="17"/>
      <c r="S7" s="10"/>
      <c r="T7" s="10"/>
      <c r="U7" s="10"/>
      <c r="V7" s="10"/>
      <c r="W7" s="10"/>
      <c r="X7" s="10"/>
      <c r="Y7" s="10"/>
      <c r="Z7" s="10">
        <f>SUM(T7:Y7)</f>
        <v>0</v>
      </c>
      <c r="AA7" s="6"/>
      <c r="AB7" s="14"/>
      <c r="AC7" s="72"/>
    </row>
    <row r="8" spans="1:29" s="21" customFormat="1" ht="12.75">
      <c r="A8" s="1" t="s">
        <v>125</v>
      </c>
      <c r="B8" s="17"/>
      <c r="C8" s="17"/>
      <c r="D8" s="17"/>
      <c r="E8" s="10"/>
      <c r="F8" s="10"/>
      <c r="G8" s="10"/>
      <c r="H8" s="11">
        <f>500*0*5/5*0+2209/2209*200</f>
        <v>200</v>
      </c>
      <c r="I8" s="11"/>
      <c r="J8" s="10"/>
      <c r="K8" s="10">
        <f t="shared" si="2"/>
        <v>200</v>
      </c>
      <c r="L8" s="7"/>
      <c r="M8" s="14">
        <f>3/3*11760*0+4/4*29160+5/5*23040+9/9*32160</f>
        <v>84360</v>
      </c>
      <c r="N8" s="72">
        <f t="shared" si="3"/>
        <v>0.4218</v>
      </c>
      <c r="O8" s="33"/>
      <c r="P8" s="7"/>
      <c r="Q8" s="17"/>
      <c r="R8" s="17"/>
      <c r="S8" s="10"/>
      <c r="T8" s="10"/>
      <c r="U8" s="10"/>
      <c r="V8" s="10"/>
      <c r="W8" s="10"/>
      <c r="X8" s="10"/>
      <c r="Y8" s="10"/>
      <c r="Z8" s="10"/>
      <c r="AA8" s="6"/>
      <c r="AB8" s="14"/>
      <c r="AC8" s="72"/>
    </row>
    <row r="9" spans="1:29" s="21" customFormat="1" ht="24">
      <c r="A9" s="1" t="s">
        <v>76</v>
      </c>
      <c r="B9" s="17"/>
      <c r="C9" s="17"/>
      <c r="D9" s="17"/>
      <c r="E9" s="10"/>
      <c r="F9" s="10"/>
      <c r="G9" s="10">
        <v>2000</v>
      </c>
      <c r="H9" s="11">
        <f>-2000*0*5/5</f>
        <v>0</v>
      </c>
      <c r="I9" s="11">
        <f>-2000+305</f>
        <v>-1695</v>
      </c>
      <c r="J9" s="10"/>
      <c r="K9" s="10">
        <f t="shared" si="2"/>
        <v>305</v>
      </c>
      <c r="L9" s="7"/>
      <c r="M9" s="14">
        <f>41083/41083*(3098291.8*0+11/11*3222351.6*0+12/12*3310951.6)+3639/3639*80080*0-M111</f>
        <v>310951.6000000001</v>
      </c>
      <c r="N9" s="72">
        <f t="shared" si="3"/>
        <v>1.019513442622951</v>
      </c>
      <c r="O9" s="33"/>
      <c r="P9" s="7"/>
      <c r="Q9" s="17"/>
      <c r="R9" s="17"/>
      <c r="S9" s="10"/>
      <c r="T9" s="10"/>
      <c r="U9" s="10"/>
      <c r="V9" s="10"/>
      <c r="W9" s="10"/>
      <c r="X9" s="10"/>
      <c r="Y9" s="10"/>
      <c r="Z9" s="10"/>
      <c r="AA9" s="6"/>
      <c r="AB9" s="14"/>
      <c r="AC9" s="72"/>
    </row>
    <row r="10" spans="1:29" s="21" customFormat="1" ht="12.75">
      <c r="A10" s="1" t="s">
        <v>127</v>
      </c>
      <c r="B10" s="17"/>
      <c r="C10" s="17">
        <f>41+(5+7)+9</f>
        <v>62</v>
      </c>
      <c r="D10" s="17">
        <f>40.8+(5.2*0+12.4)+8.8</f>
        <v>62</v>
      </c>
      <c r="E10" s="10"/>
      <c r="F10" s="10"/>
      <c r="G10" s="10"/>
      <c r="H10" s="11">
        <f>100*0*5/5</f>
        <v>0</v>
      </c>
      <c r="I10" s="11">
        <v>100</v>
      </c>
      <c r="J10" s="10"/>
      <c r="K10" s="10">
        <f t="shared" si="2"/>
        <v>100</v>
      </c>
      <c r="L10" s="7"/>
      <c r="M10" s="14">
        <f>256/256*2/2*100280</f>
        <v>100280</v>
      </c>
      <c r="N10" s="72">
        <f t="shared" si="3"/>
        <v>1.0028</v>
      </c>
      <c r="O10" s="33"/>
      <c r="P10" s="7"/>
      <c r="Q10" s="17"/>
      <c r="R10" s="17"/>
      <c r="S10" s="10"/>
      <c r="T10" s="10"/>
      <c r="U10" s="10"/>
      <c r="V10" s="10"/>
      <c r="W10" s="10"/>
      <c r="X10" s="10"/>
      <c r="Y10" s="10"/>
      <c r="Z10" s="10"/>
      <c r="AA10" s="6"/>
      <c r="AB10" s="14"/>
      <c r="AC10" s="72"/>
    </row>
    <row r="11" spans="1:29" s="21" customFormat="1" ht="12" customHeight="1">
      <c r="A11" s="1" t="s">
        <v>128</v>
      </c>
      <c r="B11" s="17"/>
      <c r="C11" s="17">
        <f>41+(5+7)+9</f>
        <v>62</v>
      </c>
      <c r="D11" s="17">
        <f>40.8+(5.2*0+12.4)+8.8</f>
        <v>62</v>
      </c>
      <c r="E11" s="10"/>
      <c r="F11" s="10"/>
      <c r="G11" s="10"/>
      <c r="H11" s="11"/>
      <c r="I11" s="11">
        <f>10+4</f>
        <v>14</v>
      </c>
      <c r="J11" s="10"/>
      <c r="K11" s="10">
        <f t="shared" si="2"/>
        <v>14</v>
      </c>
      <c r="L11" s="7"/>
      <c r="M11" s="14">
        <f>2/2*4200*0+5/5*(9600+1022/1022*4200)</f>
        <v>13800</v>
      </c>
      <c r="N11" s="72">
        <f t="shared" si="3"/>
        <v>0.9857142857142858</v>
      </c>
      <c r="O11" s="33"/>
      <c r="P11" s="7"/>
      <c r="Q11" s="17"/>
      <c r="R11" s="17"/>
      <c r="S11" s="10"/>
      <c r="T11" s="10"/>
      <c r="U11" s="10"/>
      <c r="V11" s="10"/>
      <c r="W11" s="10"/>
      <c r="X11" s="10"/>
      <c r="Y11" s="10"/>
      <c r="Z11" s="10"/>
      <c r="AA11" s="6"/>
      <c r="AB11" s="14"/>
      <c r="AC11" s="72"/>
    </row>
    <row r="12" spans="1:29" s="21" customFormat="1" ht="12" customHeight="1">
      <c r="A12" s="1" t="s">
        <v>158</v>
      </c>
      <c r="B12" s="17"/>
      <c r="C12" s="17"/>
      <c r="D12" s="17"/>
      <c r="E12" s="10"/>
      <c r="F12" s="10"/>
      <c r="G12" s="10"/>
      <c r="H12" s="11"/>
      <c r="I12" s="11">
        <v>400</v>
      </c>
      <c r="J12" s="10"/>
      <c r="K12" s="10">
        <f>SUM(E12:J12)</f>
        <v>400</v>
      </c>
      <c r="L12" s="7"/>
      <c r="M12" s="14">
        <f>12/12*400000</f>
        <v>400000</v>
      </c>
      <c r="N12" s="72">
        <f t="shared" si="3"/>
        <v>1</v>
      </c>
      <c r="O12" s="33"/>
      <c r="P12" s="7"/>
      <c r="Q12" s="17"/>
      <c r="R12" s="17"/>
      <c r="S12" s="10"/>
      <c r="T12" s="10"/>
      <c r="U12" s="10"/>
      <c r="V12" s="10"/>
      <c r="W12" s="10"/>
      <c r="X12" s="10"/>
      <c r="Y12" s="10"/>
      <c r="Z12" s="10"/>
      <c r="AA12" s="6"/>
      <c r="AB12" s="14"/>
      <c r="AC12" s="72"/>
    </row>
    <row r="13" spans="1:29" s="21" customFormat="1" ht="12.75">
      <c r="A13" s="1" t="s">
        <v>4</v>
      </c>
      <c r="B13" s="17"/>
      <c r="C13" s="17">
        <v>90</v>
      </c>
      <c r="D13" s="17">
        <f>89.7</f>
        <v>89.7</v>
      </c>
      <c r="E13" s="10">
        <v>90</v>
      </c>
      <c r="F13" s="10"/>
      <c r="G13" s="10"/>
      <c r="H13" s="11"/>
      <c r="I13" s="11">
        <f>77-80+24</f>
        <v>21</v>
      </c>
      <c r="J13" s="10"/>
      <c r="K13" s="10">
        <f t="shared" si="2"/>
        <v>111</v>
      </c>
      <c r="L13" s="7"/>
      <c r="M13" s="14">
        <f>5/5*176901.6*0+6/6*101541.6*0+9/9*111062.4*0+186422.4</f>
        <v>186422.4</v>
      </c>
      <c r="N13" s="72">
        <f t="shared" si="3"/>
        <v>1.679481081081081</v>
      </c>
      <c r="O13" s="33"/>
      <c r="P13" s="82" t="s">
        <v>89</v>
      </c>
      <c r="Q13" s="115"/>
      <c r="R13" s="115"/>
      <c r="S13" s="116"/>
      <c r="T13" s="116"/>
      <c r="U13" s="116"/>
      <c r="V13" s="116"/>
      <c r="W13" s="116"/>
      <c r="X13" s="116"/>
      <c r="Y13" s="116"/>
      <c r="Z13" s="116"/>
      <c r="AA13" s="6"/>
      <c r="AB13" s="14"/>
      <c r="AC13" s="72"/>
    </row>
    <row r="14" spans="1:31" ht="12.75">
      <c r="A14" s="47" t="s">
        <v>121</v>
      </c>
      <c r="B14" s="2">
        <f aca="true" t="shared" si="4" ref="B14:I14">SUM(B7:B13)</f>
        <v>0</v>
      </c>
      <c r="C14" s="2">
        <f t="shared" si="4"/>
        <v>232</v>
      </c>
      <c r="D14" s="2">
        <f t="shared" si="4"/>
        <v>231.39999999999998</v>
      </c>
      <c r="E14" s="9">
        <f t="shared" si="4"/>
        <v>110</v>
      </c>
      <c r="F14" s="9">
        <f t="shared" si="4"/>
        <v>0</v>
      </c>
      <c r="G14" s="9">
        <f t="shared" si="4"/>
        <v>2000</v>
      </c>
      <c r="H14" s="38">
        <f t="shared" si="4"/>
        <v>290</v>
      </c>
      <c r="I14" s="38">
        <f t="shared" si="4"/>
        <v>-879</v>
      </c>
      <c r="J14" s="9"/>
      <c r="K14" s="9">
        <f>SUM(K7:K13)</f>
        <v>1521</v>
      </c>
      <c r="L14" s="117"/>
      <c r="M14" s="89">
        <f>SUM(M7:M13)</f>
        <v>1486836</v>
      </c>
      <c r="N14" s="73">
        <f t="shared" si="3"/>
        <v>0.9775384615384616</v>
      </c>
      <c r="O14" s="118">
        <f>2/2*104480-M14</f>
        <v>-1382356</v>
      </c>
      <c r="P14" s="119">
        <f>(K14+K105+K111-(3/3*6110+4/4*3000+5/5*(16/16*-2000+500+100)*0+9/9*(13612010/13612010)*(90+200)-9400*0)*0-12/12*8521)+(M14+M105+M111-3/3*916240*0-4/4*939058*0-5/5*1148599.6*0-6/6*2233023.2*0-7/7*3698008.2*0-8/8*4671565*0-9/9*5686942.8*0-10/10*6798816.2*0-11/11*7602956*0-12/12*8486836)</f>
        <v>0</v>
      </c>
      <c r="Q14" s="2">
        <f aca="true" t="shared" si="5" ref="Q14:Z14">SUM(Q7:Q13)</f>
        <v>0</v>
      </c>
      <c r="R14" s="2">
        <f t="shared" si="5"/>
        <v>0</v>
      </c>
      <c r="S14" s="9">
        <f t="shared" si="5"/>
        <v>0</v>
      </c>
      <c r="T14" s="9">
        <f t="shared" si="5"/>
        <v>0</v>
      </c>
      <c r="U14" s="9">
        <f t="shared" si="5"/>
        <v>0</v>
      </c>
      <c r="V14" s="9">
        <f t="shared" si="5"/>
        <v>0</v>
      </c>
      <c r="W14" s="9">
        <f t="shared" si="5"/>
        <v>0</v>
      </c>
      <c r="X14" s="9">
        <f t="shared" si="5"/>
        <v>0</v>
      </c>
      <c r="Y14" s="9">
        <f t="shared" si="5"/>
        <v>0</v>
      </c>
      <c r="Z14" s="9">
        <f t="shared" si="5"/>
        <v>0</v>
      </c>
      <c r="AA14" s="120"/>
      <c r="AB14" s="95">
        <f>SUM(AB7:AB13)</f>
        <v>0</v>
      </c>
      <c r="AC14" s="73"/>
      <c r="AD14" s="114"/>
      <c r="AE14" s="112">
        <f>Z14+Z105+Z111-3/3*4000*0-4/4*7000+AB14+AB105+AB111-3/3*4000000*0-5/5*7000000</f>
        <v>0</v>
      </c>
    </row>
    <row r="15" spans="1:26" ht="34.5" customHeight="1">
      <c r="A15" s="1" t="s">
        <v>49</v>
      </c>
      <c r="B15" s="17">
        <f>480+20</f>
        <v>500</v>
      </c>
      <c r="C15" s="17">
        <f>426+93</f>
        <v>519</v>
      </c>
      <c r="D15" s="17">
        <f>(383.3+42.5)+93.5</f>
        <v>519.3</v>
      </c>
      <c r="E15" s="10">
        <f>500+100*0</f>
        <v>500</v>
      </c>
      <c r="H15" s="11">
        <f>200*0*5/5+7/7*99/99*421.9</f>
        <v>421.9</v>
      </c>
      <c r="I15" s="11">
        <v>115.1</v>
      </c>
      <c r="K15" s="10">
        <f>SUM(E15:J15)</f>
        <v>1037</v>
      </c>
      <c r="L15" s="8" t="s">
        <v>50</v>
      </c>
      <c r="M15" s="14">
        <f>95262.38*0+2/2*382709.18*0+3/3*424569.98*0+4/4*453228.38*0+5/5*529865.32*0+6/6*732172.92*0+7/7*953742.37*0+8/8*966306.37*0+9/9*992933.57*0+10/10*1035790.47*0+11/11*1036726.47*0+12/12*1183336.67</f>
        <v>1183336.67</v>
      </c>
      <c r="N15" s="72">
        <f t="shared" si="3"/>
        <v>1.141115400192864</v>
      </c>
      <c r="P15" s="8"/>
      <c r="Z15" s="10">
        <f>SUM(T15:Y15)</f>
        <v>0</v>
      </c>
    </row>
    <row r="16" spans="1:16" ht="23.25">
      <c r="A16" s="1" t="s">
        <v>179</v>
      </c>
      <c r="I16" s="11">
        <v>18</v>
      </c>
      <c r="K16" s="10">
        <f>SUM(E16:J16)</f>
        <v>18</v>
      </c>
      <c r="L16" s="8"/>
      <c r="M16" s="14">
        <f>3/3*17880+12/12*40958/40958*(5128370.95-84/84*5000000)</f>
        <v>146250.9500000002</v>
      </c>
      <c r="P16" s="8"/>
    </row>
    <row r="17" spans="1:16" ht="24">
      <c r="A17" s="1" t="s">
        <v>180</v>
      </c>
      <c r="H17" s="11">
        <f>7/7*99/99*155</f>
        <v>155</v>
      </c>
      <c r="K17" s="10">
        <f>SUM(E17:J17)</f>
        <v>155</v>
      </c>
      <c r="L17" s="8"/>
      <c r="M17" s="14">
        <f>6/6*152358</f>
        <v>152358</v>
      </c>
      <c r="P17" s="8"/>
    </row>
    <row r="18" spans="1:26" ht="23.25">
      <c r="A18" s="1" t="s">
        <v>129</v>
      </c>
      <c r="E18" s="10">
        <f>500*0+100</f>
        <v>100</v>
      </c>
      <c r="K18" s="10">
        <f>SUM(E18:J18)</f>
        <v>100</v>
      </c>
      <c r="L18" s="8" t="s">
        <v>51</v>
      </c>
      <c r="M18" s="14">
        <f>(2653+473)*0+2/2*(5329+950)*0+7/7*23920*0+10/10*38408*0+11/11*69644*0+12/12*113084+3/3*(8474/8474*(1427*0+4/4*1918*0+5/5*2400*0+6/6*2882*0+7/7*3364*0+8/8*3846*0+9/9*4328*0+10/10*4810*0+11/11*5292*0+12/12*5774)+1028233/1028233*8005*0+4/4*10761*0+5/5*13463*0+6/6*16165*0+7/7*18867*0+8/8*21569*0+9/9*24271*0+10/10*26973*0+11/11*29675)+12/12*8233/8233*2702</f>
        <v>151235</v>
      </c>
      <c r="N18" s="72">
        <f>M18/(K18*1000)</f>
        <v>1.51235</v>
      </c>
      <c r="P18" s="8"/>
      <c r="Z18" s="10">
        <f>SUM(T18:Y18)</f>
        <v>0</v>
      </c>
    </row>
    <row r="19" spans="1:26" ht="12.75">
      <c r="A19" s="48" t="s">
        <v>4</v>
      </c>
      <c r="B19" s="115"/>
      <c r="C19" s="115">
        <v>90</v>
      </c>
      <c r="D19" s="115">
        <f>89.7</f>
        <v>89.7</v>
      </c>
      <c r="E19" s="116">
        <f>90*0</f>
        <v>0</v>
      </c>
      <c r="F19" s="116"/>
      <c r="G19" s="116"/>
      <c r="H19" s="121"/>
      <c r="I19" s="121"/>
      <c r="J19" s="116"/>
      <c r="K19" s="116">
        <f>SUM(E19:J19)</f>
        <v>0</v>
      </c>
      <c r="P19" s="82" t="s">
        <v>88</v>
      </c>
      <c r="Q19" s="115"/>
      <c r="R19" s="115"/>
      <c r="S19" s="116"/>
      <c r="T19" s="116"/>
      <c r="U19" s="116"/>
      <c r="V19" s="116"/>
      <c r="W19" s="116"/>
      <c r="X19" s="116"/>
      <c r="Y19" s="116"/>
      <c r="Z19" s="116">
        <f>SUM(T19:Y19)</f>
        <v>0</v>
      </c>
    </row>
    <row r="20" spans="1:31" ht="12.75">
      <c r="A20" s="47" t="s">
        <v>122</v>
      </c>
      <c r="B20" s="2">
        <f aca="true" t="shared" si="6" ref="B20:I20">SUM(B15:B19)</f>
        <v>500</v>
      </c>
      <c r="C20" s="2">
        <f t="shared" si="6"/>
        <v>609</v>
      </c>
      <c r="D20" s="2">
        <f t="shared" si="6"/>
        <v>609</v>
      </c>
      <c r="E20" s="9">
        <f t="shared" si="6"/>
        <v>600</v>
      </c>
      <c r="F20" s="9">
        <f t="shared" si="6"/>
        <v>0</v>
      </c>
      <c r="G20" s="9">
        <f t="shared" si="6"/>
        <v>0</v>
      </c>
      <c r="H20" s="38">
        <f t="shared" si="6"/>
        <v>576.9</v>
      </c>
      <c r="I20" s="38">
        <f t="shared" si="6"/>
        <v>133.1</v>
      </c>
      <c r="J20" s="9"/>
      <c r="K20" s="9">
        <f>SUM(K15:K19)</f>
        <v>1310</v>
      </c>
      <c r="L20" s="117"/>
      <c r="M20" s="89">
        <f>SUM(M15:M19)</f>
        <v>1633180.62</v>
      </c>
      <c r="N20" s="73">
        <f aca="true" t="shared" si="7" ref="N20:N28">M20/(K20*1000)</f>
        <v>1.2467027633587786</v>
      </c>
      <c r="O20" s="118">
        <f>2/2*388988.18-M20</f>
        <v>-1244192.4400000002</v>
      </c>
      <c r="P20" s="119">
        <f>(K20+6/6*K115-(3/3*600+5/5*16/16*200*0+6/6*5000+7/7*99/99*(421.9+155)+12/12*(115.1+18)-6176.9*0-12/12*6310*0))+(M20+M115-3/3*451881.98*0-4/4*483787.38*0-5/5*563608.32*0-6/6*921457.92*0-7/7*1179731.37*0-8/8*1195479.37*0-9/9*2244509.02*0-10/10*4442345.25*0-11/11*4477701.25*0-12/12*6633180.62)</f>
        <v>0</v>
      </c>
      <c r="Q20" s="2">
        <f aca="true" t="shared" si="8" ref="Q20:Y20">SUM(Q15:Q19)</f>
        <v>0</v>
      </c>
      <c r="R20" s="2">
        <f t="shared" si="8"/>
        <v>0</v>
      </c>
      <c r="S20" s="9">
        <f t="shared" si="8"/>
        <v>0</v>
      </c>
      <c r="T20" s="9">
        <f t="shared" si="8"/>
        <v>0</v>
      </c>
      <c r="U20" s="9">
        <f t="shared" si="8"/>
        <v>0</v>
      </c>
      <c r="V20" s="9">
        <f t="shared" si="8"/>
        <v>0</v>
      </c>
      <c r="W20" s="9">
        <f t="shared" si="8"/>
        <v>0</v>
      </c>
      <c r="X20" s="9">
        <f t="shared" si="8"/>
        <v>0</v>
      </c>
      <c r="Y20" s="9">
        <f t="shared" si="8"/>
        <v>0</v>
      </c>
      <c r="Z20" s="9">
        <f>SUM(Z15:Z19)</f>
        <v>0</v>
      </c>
      <c r="AA20" s="120"/>
      <c r="AB20" s="95">
        <f>SUM(AB15:AB19)</f>
        <v>0</v>
      </c>
      <c r="AC20" s="122"/>
      <c r="AD20" s="123"/>
      <c r="AE20" s="124">
        <f>Z20+Z115-3/3*0-6/6*5000+(AB20+AB115-3/3*0-6/6*0-7/7*5000000)</f>
        <v>0</v>
      </c>
    </row>
    <row r="21" spans="1:31" ht="12.75">
      <c r="A21" s="1" t="s">
        <v>5</v>
      </c>
      <c r="B21" s="17">
        <v>1500</v>
      </c>
      <c r="C21" s="17">
        <v>1523</v>
      </c>
      <c r="D21" s="17">
        <v>1523.4</v>
      </c>
      <c r="E21" s="18">
        <f>1505*1.05-0.25</f>
        <v>1580</v>
      </c>
      <c r="F21" s="18"/>
      <c r="G21" s="18"/>
      <c r="H21" s="18">
        <f>35+928-963*0</f>
        <v>963</v>
      </c>
      <c r="I21" s="18">
        <f>35+928-963</f>
        <v>0</v>
      </c>
      <c r="J21" s="18"/>
      <c r="K21" s="13">
        <f>SUM(E21:J21)</f>
        <v>2543</v>
      </c>
      <c r="L21" s="125" t="s">
        <v>26</v>
      </c>
      <c r="M21" s="57">
        <f>2/2*264000*0+3/3*396000+5/5*264000+6/6*(130000+1100/1100*498*0)+9/9*390000+12/12*(400000+1376/1376*35000+1413/1413*578000)</f>
        <v>2193000</v>
      </c>
      <c r="N21" s="72">
        <f t="shared" si="7"/>
        <v>0.8623672827369249</v>
      </c>
      <c r="P21" s="83" t="s">
        <v>91</v>
      </c>
      <c r="Q21" s="17">
        <v>343</v>
      </c>
      <c r="R21" s="17">
        <v>348</v>
      </c>
      <c r="S21" s="10">
        <v>348</v>
      </c>
      <c r="T21" s="18">
        <f>250*1397/1000+0.75</f>
        <v>350</v>
      </c>
      <c r="U21" s="18"/>
      <c r="V21" s="18"/>
      <c r="W21" s="18"/>
      <c r="X21" s="18"/>
      <c r="Y21" s="18"/>
      <c r="Z21" s="13">
        <f>SUM(T21:Y21)</f>
        <v>350</v>
      </c>
      <c r="AA21" s="20" t="s">
        <v>41</v>
      </c>
      <c r="AB21" s="126">
        <f>T21*1000*12/12-166.666666667*12*0</f>
        <v>350000</v>
      </c>
      <c r="AC21" s="72">
        <f>AB21/(Z21*1000)</f>
        <v>1</v>
      </c>
      <c r="AD21" s="21"/>
      <c r="AE21" s="32">
        <f>AB21-Z21*1000</f>
        <v>0</v>
      </c>
    </row>
    <row r="22" spans="1:29" s="21" customFormat="1" ht="12.75">
      <c r="A22" s="16" t="s">
        <v>78</v>
      </c>
      <c r="B22" s="17"/>
      <c r="C22" s="17"/>
      <c r="D22" s="17"/>
      <c r="E22" s="18"/>
      <c r="F22" s="18"/>
      <c r="G22" s="18"/>
      <c r="H22" s="18">
        <f>90*0</f>
        <v>0</v>
      </c>
      <c r="I22" s="18">
        <f>30+162</f>
        <v>192</v>
      </c>
      <c r="J22" s="18"/>
      <c r="K22" s="13">
        <f>SUM(E22:J22)</f>
        <v>192</v>
      </c>
      <c r="L22" s="125"/>
      <c r="M22" s="57">
        <f>2/2*69084*0+4/4*89854*0+5/5*(100406*0+6/6*1100/1100*498+9/9*64696*0)+10/10*(26027+12/12*146444+11/11*-19708*0-1368/1368*18000*0)</f>
        <v>172969</v>
      </c>
      <c r="N22" s="72">
        <f t="shared" si="7"/>
        <v>0.9008802083333334</v>
      </c>
      <c r="O22" s="33"/>
      <c r="P22" s="14">
        <f>760406*0+6/6*(939406*0+10/10*1371129*0+11/11*1351421*0+12/12*(1824371+35000+578000+41082/41082*(256079.56+991009.44))+1368/1368*(102000*0+10/10*2980063)+1100/1100*498)-SUM(M21:M22,M23,M119)</f>
        <v>0</v>
      </c>
      <c r="Q22" s="17"/>
      <c r="R22" s="17"/>
      <c r="S22" s="10"/>
      <c r="T22" s="18"/>
      <c r="U22" s="18"/>
      <c r="V22" s="18"/>
      <c r="W22" s="18"/>
      <c r="X22" s="18"/>
      <c r="Y22" s="18"/>
      <c r="Z22" s="13"/>
      <c r="AA22" s="20"/>
      <c r="AB22" s="126"/>
      <c r="AC22" s="72"/>
    </row>
    <row r="23" spans="1:29" s="21" customFormat="1" ht="24">
      <c r="A23" s="16" t="s">
        <v>181</v>
      </c>
      <c r="B23" s="17"/>
      <c r="C23" s="17"/>
      <c r="D23" s="17"/>
      <c r="E23" s="18"/>
      <c r="F23" s="18"/>
      <c r="G23" s="18"/>
      <c r="H23" s="18">
        <f>99/99*3002</f>
        <v>3002</v>
      </c>
      <c r="I23" s="18"/>
      <c r="J23" s="18"/>
      <c r="K23" s="13">
        <f>SUM(E23:J23)</f>
        <v>3002</v>
      </c>
      <c r="L23" s="125"/>
      <c r="M23" s="57">
        <f>6/6*(49000*0+1368/1368*102000)*0+7/7*111600*0+8/8*1287424.8*0+9/9*2980063+12/12*(256079.56+99/99*991009.44)+10/10*18000*(0+3113/3113*0)</f>
        <v>4227152</v>
      </c>
      <c r="N23" s="72">
        <f t="shared" si="7"/>
        <v>1.408111925383078</v>
      </c>
      <c r="O23" s="33"/>
      <c r="P23" s="8">
        <f>1580+3002+9/9*(35+928)+6000+12/12*192-SUM(K21:K23,K112)</f>
        <v>4.000000080850441E-05</v>
      </c>
      <c r="Q23" s="17"/>
      <c r="R23" s="17"/>
      <c r="S23" s="10"/>
      <c r="T23" s="18"/>
      <c r="U23" s="18"/>
      <c r="V23" s="18"/>
      <c r="W23" s="18"/>
      <c r="X23" s="18"/>
      <c r="Y23" s="18"/>
      <c r="Z23" s="13"/>
      <c r="AA23" s="20"/>
      <c r="AB23" s="126"/>
      <c r="AC23" s="72"/>
    </row>
    <row r="24" spans="1:31" ht="24">
      <c r="A24" s="1" t="s">
        <v>77</v>
      </c>
      <c r="B24" s="17">
        <v>3085</v>
      </c>
      <c r="C24" s="17">
        <v>3318</v>
      </c>
      <c r="D24" s="17">
        <v>3317.6</v>
      </c>
      <c r="E24" s="18">
        <f>3096*1.05-0.8+500</f>
        <v>3750</v>
      </c>
      <c r="F24" s="18"/>
      <c r="G24" s="40">
        <f>3/3*80+1606/1606*10</f>
        <v>90</v>
      </c>
      <c r="H24" s="40"/>
      <c r="I24" s="18">
        <v>-500</v>
      </c>
      <c r="J24" s="18"/>
      <c r="K24" s="13">
        <f aca="true" t="shared" si="9" ref="K24:K52">SUM(E24:J24)</f>
        <v>3340</v>
      </c>
      <c r="L24" s="19" t="s">
        <v>47</v>
      </c>
      <c r="M24" s="57">
        <f>2/2*625000*0+3/3*937500*0+5/5*1562500+6/6*(312500+2326/2326*10000)+9/9*302500+10/10*937500+12/12*215000+1336/1336*5000</f>
        <v>3345000</v>
      </c>
      <c r="N24" s="72">
        <f t="shared" si="7"/>
        <v>1.001497005988024</v>
      </c>
      <c r="P24" s="83" t="s">
        <v>91</v>
      </c>
      <c r="Q24" s="17">
        <v>733</v>
      </c>
      <c r="R24" s="17">
        <v>744</v>
      </c>
      <c r="S24" s="10">
        <v>744</v>
      </c>
      <c r="T24" s="18">
        <f>537*1397/1000-0.189</f>
        <v>750</v>
      </c>
      <c r="U24" s="18"/>
      <c r="V24" s="18"/>
      <c r="W24" s="18"/>
      <c r="X24" s="18"/>
      <c r="Y24" s="18"/>
      <c r="Z24" s="13">
        <f aca="true" t="shared" si="10" ref="Z24:Z30">SUM(T24:Y24)</f>
        <v>750</v>
      </c>
      <c r="AA24" s="20" t="s">
        <v>42</v>
      </c>
      <c r="AB24" s="126">
        <f>T24*1000*12/12+500*12*0</f>
        <v>750000</v>
      </c>
      <c r="AC24" s="72">
        <f>AB24/(Z24*1000)</f>
        <v>1</v>
      </c>
      <c r="AD24" s="21"/>
      <c r="AE24" s="32">
        <f>AB24-Z24*1000</f>
        <v>0</v>
      </c>
    </row>
    <row r="25" spans="1:27" ht="23.25">
      <c r="A25" s="16" t="s">
        <v>182</v>
      </c>
      <c r="E25" s="18"/>
      <c r="F25" s="18"/>
      <c r="G25" s="18"/>
      <c r="H25" s="18">
        <f>62*0+310*0+99/99*(160+76)+2209/2209*(470+495)*0</f>
        <v>236</v>
      </c>
      <c r="I25" s="18">
        <f>(656-H25)*0+12/12*(641+52)</f>
        <v>693</v>
      </c>
      <c r="J25" s="18"/>
      <c r="K25" s="13">
        <f t="shared" si="9"/>
        <v>929</v>
      </c>
      <c r="L25" s="19"/>
      <c r="M25" s="57">
        <f>127837.17*0+2/2*658734*0+3/3*1097009.44*0+4/4*1309672.42*0+5/5*(2341037.47*0+6/6*(2747128.52*0+7/7*(2823839.57*0+8/8*4008625.87*0+9/9*(4876076.92*0+10/10*6027064.83*0+11/11*5273602.91*0+12/12*(5991055.46+10000+5000)+102/102*(100495*0+10/10*248532))+3113/3113*(640583*0*6121/6121+12/12*62880))+232610/232610*10000*0*5331/5331+10/10*1368/1368*18000+12/12*11122011/11122011*93600)-M24-M101-M109-M116-12/12*M118+(-M113-M114)*0)</f>
        <v>2312367.46</v>
      </c>
      <c r="N25" s="72">
        <f t="shared" si="7"/>
        <v>2.4890930678148546</v>
      </c>
      <c r="P25" s="14"/>
      <c r="T25" s="18"/>
      <c r="U25" s="18"/>
      <c r="V25" s="18"/>
      <c r="W25" s="18"/>
      <c r="X25" s="18"/>
      <c r="Y25" s="18"/>
      <c r="Z25" s="13">
        <f t="shared" si="10"/>
        <v>0</v>
      </c>
      <c r="AA25" s="20"/>
    </row>
    <row r="26" spans="1:27" ht="24">
      <c r="A26" s="16" t="s">
        <v>149</v>
      </c>
      <c r="E26" s="18"/>
      <c r="F26" s="18"/>
      <c r="G26" s="18"/>
      <c r="H26" s="40">
        <f>2209/2209*((694.335+0.665)-200-495*5/5*9/9*0+(1268.837+1.163)-800-470*5/5*9/9*0)</f>
        <v>965</v>
      </c>
      <c r="I26" s="40"/>
      <c r="J26" s="18"/>
      <c r="K26" s="13">
        <f>SUM(E26:J26)</f>
        <v>965</v>
      </c>
      <c r="L26" s="19"/>
      <c r="M26" s="57">
        <f>9/9*(41144/41144*(607921-200000)+41145/41145*(1205448.6-800000))</f>
        <v>813369.6000000001</v>
      </c>
      <c r="N26" s="72">
        <f t="shared" si="7"/>
        <v>0.8428700518134716</v>
      </c>
      <c r="P26" s="14"/>
      <c r="T26" s="18"/>
      <c r="U26" s="18"/>
      <c r="V26" s="18"/>
      <c r="W26" s="18"/>
      <c r="X26" s="18"/>
      <c r="Y26" s="18"/>
      <c r="Z26" s="13"/>
      <c r="AA26" s="20"/>
    </row>
    <row r="27" spans="1:26" ht="12.75">
      <c r="A27" s="1" t="s">
        <v>6</v>
      </c>
      <c r="B27" s="17">
        <v>1000</v>
      </c>
      <c r="C27" s="17">
        <v>1165</v>
      </c>
      <c r="D27" s="17">
        <v>1165.9</v>
      </c>
      <c r="E27" s="18">
        <f>1000*1.05</f>
        <v>1050</v>
      </c>
      <c r="F27" s="18"/>
      <c r="G27" s="18"/>
      <c r="H27" s="18"/>
      <c r="I27" s="18"/>
      <c r="J27" s="18"/>
      <c r="K27" s="13">
        <f t="shared" si="9"/>
        <v>1050</v>
      </c>
      <c r="L27" s="19" t="s">
        <v>27</v>
      </c>
      <c r="M27" s="57">
        <f>2/2*175000*0+3/3*262500+5/5*175000+6/6*87500+9/9*260000+12/12*265000</f>
        <v>1050000</v>
      </c>
      <c r="N27" s="72">
        <f t="shared" si="7"/>
        <v>1</v>
      </c>
      <c r="P27" s="8"/>
      <c r="U27" s="18"/>
      <c r="V27" s="18"/>
      <c r="W27" s="18"/>
      <c r="X27" s="18"/>
      <c r="Y27" s="18"/>
      <c r="Z27" s="13">
        <f t="shared" si="10"/>
        <v>0</v>
      </c>
    </row>
    <row r="28" spans="1:26" ht="12.75">
      <c r="A28" s="16" t="s">
        <v>54</v>
      </c>
      <c r="E28" s="18"/>
      <c r="F28" s="18"/>
      <c r="G28" s="18"/>
      <c r="H28" s="18"/>
      <c r="I28" s="18">
        <v>110</v>
      </c>
      <c r="J28" s="18"/>
      <c r="K28" s="13">
        <f t="shared" si="9"/>
        <v>110</v>
      </c>
      <c r="L28" s="19"/>
      <c r="M28" s="57">
        <f>-6202.27*0+2/2*175000*0+3/3*288039.64*0+5/5*478616.39*0+6/6*581693.14*0+7/7*597269.89*0+8/8*612846.64*0+9/9*998328.39*0+10/10*1103543.47*0+11/11*1056813.22*0+12/12*(699004.18-1050000*0)-M27</f>
        <v>-350995.81999999995</v>
      </c>
      <c r="N28" s="72">
        <f t="shared" si="7"/>
        <v>-3.1908710909090905</v>
      </c>
      <c r="P28" s="57"/>
      <c r="Q28" s="127"/>
      <c r="R28" s="127"/>
      <c r="S28" s="128"/>
      <c r="T28" s="128"/>
      <c r="U28" s="18"/>
      <c r="V28" s="18"/>
      <c r="W28" s="18"/>
      <c r="X28" s="18"/>
      <c r="Y28" s="18"/>
      <c r="Z28" s="13">
        <f t="shared" si="10"/>
        <v>0</v>
      </c>
    </row>
    <row r="29" spans="1:26" ht="12.75">
      <c r="A29" s="1" t="s">
        <v>53</v>
      </c>
      <c r="E29" s="18"/>
      <c r="F29" s="18"/>
      <c r="G29" s="18"/>
      <c r="H29" s="18"/>
      <c r="I29" s="18"/>
      <c r="J29" s="18"/>
      <c r="K29" s="13">
        <f t="shared" si="9"/>
        <v>0</v>
      </c>
      <c r="L29" s="19"/>
      <c r="M29" s="57">
        <f>-8499.23*0*2/2+3/3*34998.04*0+4/4*77236.32*0+5/5*34998.04*0+10/10*157833.23*0+11/11*52497.06</f>
        <v>52497.06</v>
      </c>
      <c r="P29" s="57"/>
      <c r="Q29" s="127"/>
      <c r="R29" s="127"/>
      <c r="S29" s="128"/>
      <c r="T29" s="128"/>
      <c r="U29" s="18"/>
      <c r="V29" s="18"/>
      <c r="W29" s="18"/>
      <c r="X29" s="18"/>
      <c r="Y29" s="18"/>
      <c r="Z29" s="13">
        <f t="shared" si="10"/>
        <v>0</v>
      </c>
    </row>
    <row r="30" spans="1:26" ht="12.75">
      <c r="A30" s="1" t="s">
        <v>7</v>
      </c>
      <c r="C30" s="17">
        <v>140</v>
      </c>
      <c r="D30" s="17">
        <v>140</v>
      </c>
      <c r="I30" s="18">
        <v>5</v>
      </c>
      <c r="J30" s="13"/>
      <c r="K30" s="13">
        <f t="shared" si="9"/>
        <v>5</v>
      </c>
      <c r="M30" s="57">
        <f>9/9*861.6*0+10/10*5241.6+12/12*60/60*4929</f>
        <v>10170.6</v>
      </c>
      <c r="N30" s="72">
        <f>M30/(K30*1000)</f>
        <v>2.03412</v>
      </c>
      <c r="P30" s="14"/>
      <c r="Z30" s="10">
        <f t="shared" si="10"/>
        <v>0</v>
      </c>
    </row>
    <row r="31" spans="1:31" ht="12.75">
      <c r="A31" s="47" t="s">
        <v>120</v>
      </c>
      <c r="B31" s="2">
        <f aca="true" t="shared" si="11" ref="B31:I31">SUM(B21:B30)</f>
        <v>5585</v>
      </c>
      <c r="C31" s="2">
        <f t="shared" si="11"/>
        <v>6146</v>
      </c>
      <c r="D31" s="2">
        <f t="shared" si="11"/>
        <v>6146.9</v>
      </c>
      <c r="E31" s="9">
        <f t="shared" si="11"/>
        <v>6380</v>
      </c>
      <c r="F31" s="9">
        <f t="shared" si="11"/>
        <v>0</v>
      </c>
      <c r="G31" s="9">
        <f t="shared" si="11"/>
        <v>90</v>
      </c>
      <c r="H31" s="38">
        <f t="shared" si="11"/>
        <v>5166</v>
      </c>
      <c r="I31" s="38">
        <f t="shared" si="11"/>
        <v>500</v>
      </c>
      <c r="J31" s="9"/>
      <c r="K31" s="9">
        <f>SUM(K21:K30)</f>
        <v>12136</v>
      </c>
      <c r="L31" s="117"/>
      <c r="M31" s="89">
        <f>SUM(M21:M30)</f>
        <v>13825529.9</v>
      </c>
      <c r="N31" s="73">
        <f>M31/(K31*1000)</f>
        <v>1.1392163727752143</v>
      </c>
      <c r="O31" s="118">
        <f>2/2*1166818-M31</f>
        <v>-12658711.9</v>
      </c>
      <c r="P31" s="119">
        <f>(K31+K109+4/4*(K101+K112+K113+K114+K116+K118+K119)-3/3*6559*0-4/4*13719.6*0-7/7*16967.6*0-9/9*19479.6*0-12/12*19979.6)+(M31+M109+5/5*(M101+(M112)+(M113+M114)+M116+M118+M119)-3/3*1885131.12*0-4/4*2160802.38*0-5/5*3615057.9*0-6/6*4444193.3*0-7/7*5229384.1*0-8/8*7889241.95*0-9/9*12937805.55*0-10/10*14515095.73*0-11/11*16102351.39*0-12/12*21669129.9)</f>
        <v>-3.9999998989515007E-05</v>
      </c>
      <c r="Q31" s="2">
        <f aca="true" t="shared" si="12" ref="Q31:Y31">SUM(Q21:Q30)</f>
        <v>1076</v>
      </c>
      <c r="R31" s="2">
        <f t="shared" si="12"/>
        <v>1092</v>
      </c>
      <c r="S31" s="9">
        <f t="shared" si="12"/>
        <v>1092</v>
      </c>
      <c r="T31" s="9">
        <f t="shared" si="12"/>
        <v>1100</v>
      </c>
      <c r="U31" s="9">
        <f t="shared" si="12"/>
        <v>0</v>
      </c>
      <c r="V31" s="9">
        <f t="shared" si="12"/>
        <v>0</v>
      </c>
      <c r="W31" s="9">
        <f t="shared" si="12"/>
        <v>0</v>
      </c>
      <c r="X31" s="9">
        <f t="shared" si="12"/>
        <v>0</v>
      </c>
      <c r="Y31" s="9">
        <f t="shared" si="12"/>
        <v>0</v>
      </c>
      <c r="Z31" s="9">
        <f>SUM(Z21:Z30)</f>
        <v>1100</v>
      </c>
      <c r="AA31" s="120"/>
      <c r="AB31" s="95">
        <f>SUM(AB21:AB30)</f>
        <v>1100000</v>
      </c>
      <c r="AC31" s="73">
        <f>AB31/(Z31*1000)</f>
        <v>1</v>
      </c>
      <c r="AD31" s="114"/>
      <c r="AE31" s="129">
        <f>(Z31-(T21+T24)+Z109+4/4*(Z101+Z112+Z113+Z114)+9/9*(Z116+Z118+Z119)-3/3*99*0-4/4*7259.6*0-9/9*7843.6)*0+(AB31-(AB21+AB24)+AB109+4/4*(AB101+AB112+AB113+AB114)+9/9*(AB116+AB118+AB119)-3/3*99000*0-4/4*259600*0-5/5*7259600*0-9/9*7843600)</f>
        <v>0</v>
      </c>
    </row>
    <row r="32" spans="1:26" ht="12.75">
      <c r="A32" s="1" t="s">
        <v>60</v>
      </c>
      <c r="B32" s="17">
        <f>120+100</f>
        <v>220</v>
      </c>
      <c r="C32" s="130">
        <f>120+100+(254+577)</f>
        <v>1051</v>
      </c>
      <c r="D32" s="17">
        <f>373.6+677.1</f>
        <v>1050.7</v>
      </c>
      <c r="E32" s="10">
        <f>100+100*0</f>
        <v>100</v>
      </c>
      <c r="H32" s="11">
        <f>30*(0*5/5+2209/2209)</f>
        <v>30</v>
      </c>
      <c r="I32" s="18">
        <f>30-10-12+7+13</f>
        <v>28</v>
      </c>
      <c r="J32" s="13"/>
      <c r="K32" s="13">
        <f t="shared" si="9"/>
        <v>158</v>
      </c>
      <c r="L32" s="8" t="s">
        <v>61</v>
      </c>
      <c r="M32" s="14">
        <f>6857.87*0+2/2*8732.47*0+3/3*26290.81*0+4/4*44123.35*0+5/5*52020.48*0+6/6*59747.96*0+7/7*124120*0+8/8*132041.48*0+9/9*142494.96*0+10/10*150303.44*0+11/11*166651.68*0+12/12*179462.68</f>
        <v>179462.68</v>
      </c>
      <c r="N32" s="72">
        <f aca="true" t="shared" si="13" ref="N32:N49">M32/(K32*1000)</f>
        <v>1.135839746835443</v>
      </c>
      <c r="P32" s="8"/>
      <c r="Z32" s="10">
        <f aca="true" t="shared" si="14" ref="Z32:Z40">SUM(T32:Y32)</f>
        <v>0</v>
      </c>
    </row>
    <row r="33" spans="1:26" ht="12.75">
      <c r="A33" s="1" t="s">
        <v>87</v>
      </c>
      <c r="B33" s="17">
        <f>120+100</f>
        <v>220</v>
      </c>
      <c r="C33" s="130">
        <f>120+100+(254+577)</f>
        <v>1051</v>
      </c>
      <c r="D33" s="17">
        <f>373.6+677.1</f>
        <v>1050.7</v>
      </c>
      <c r="E33" s="10">
        <f>100*0+100</f>
        <v>100</v>
      </c>
      <c r="H33" s="11">
        <f>66*0*5/5</f>
        <v>0</v>
      </c>
      <c r="I33" s="18">
        <f>46+30-20+201+20+27+22</f>
        <v>326</v>
      </c>
      <c r="J33" s="13"/>
      <c r="K33" s="13">
        <f t="shared" si="9"/>
        <v>426</v>
      </c>
      <c r="L33" s="8" t="s">
        <v>59</v>
      </c>
      <c r="M33" s="14">
        <f>6979.35*0+2/2*32434.61*0+3/3*120963.59*0+4/4*93476.39*0+5/5*143871.74*0+6/6*199162.09*0+7/7*216488.39*0+8/8*257610.74*0+9/9*341082.09*0+10/10*384060.44*0+11/11*476640.71*0+12/12*531240.71</f>
        <v>531240.71</v>
      </c>
      <c r="N33" s="72">
        <f t="shared" si="13"/>
        <v>1.2470439201877934</v>
      </c>
      <c r="P33" s="8"/>
      <c r="Z33" s="10">
        <f t="shared" si="14"/>
        <v>0</v>
      </c>
    </row>
    <row r="34" spans="1:26" ht="12.75">
      <c r="A34" s="1" t="s">
        <v>8</v>
      </c>
      <c r="B34" s="17">
        <v>350</v>
      </c>
      <c r="C34" s="17">
        <v>350</v>
      </c>
      <c r="D34" s="17">
        <v>351.2</v>
      </c>
      <c r="E34" s="18">
        <f>12*121*(12*20)/1000+1.52</f>
        <v>350</v>
      </c>
      <c r="F34" s="18"/>
      <c r="G34" s="18"/>
      <c r="H34" s="18"/>
      <c r="I34" s="18"/>
      <c r="J34" s="18"/>
      <c r="K34" s="13">
        <f t="shared" si="9"/>
        <v>350</v>
      </c>
      <c r="L34" s="19" t="s">
        <v>28</v>
      </c>
      <c r="M34" s="57">
        <f>(23316/12-1943+1943*12)*0+2/2*51024/12*0+(1943+2309+3/3*2218+4/4*2527+5/5*2286+6/6*2232+7/7*2268)*12+7/7*2+8/8*(2007*12+2)+9/9*(2171*12+2)+10/10*(2252*12+3)+11/11*(2188*12+1)+12/12*(2291*12+1+2)</f>
        <v>320317</v>
      </c>
      <c r="N34" s="72">
        <f t="shared" si="13"/>
        <v>0.9151914285714285</v>
      </c>
      <c r="P34" s="19"/>
      <c r="Q34" s="127"/>
      <c r="R34" s="127"/>
      <c r="S34" s="128"/>
      <c r="T34" s="128"/>
      <c r="U34" s="18"/>
      <c r="V34" s="18"/>
      <c r="W34" s="18"/>
      <c r="X34" s="18"/>
      <c r="Y34" s="18"/>
      <c r="Z34" s="13">
        <f t="shared" si="14"/>
        <v>0</v>
      </c>
    </row>
    <row r="35" spans="1:26" ht="23.25">
      <c r="A35" s="1" t="s">
        <v>183</v>
      </c>
      <c r="E35" s="18"/>
      <c r="F35" s="18"/>
      <c r="G35" s="18"/>
      <c r="H35" s="18">
        <f>7/7*99/99*1400</f>
        <v>1400</v>
      </c>
      <c r="I35" s="18"/>
      <c r="J35" s="18"/>
      <c r="K35" s="13">
        <f>SUM(E35:J35)</f>
        <v>1400</v>
      </c>
      <c r="L35" s="19" t="s">
        <v>28</v>
      </c>
      <c r="M35" s="57">
        <f>8/8*9600*0+11/11*133753*0+12/12*1271616</f>
        <v>1271616</v>
      </c>
      <c r="N35" s="72">
        <f>M35/(K35*1000)</f>
        <v>0.9082971428571428</v>
      </c>
      <c r="P35" s="20"/>
      <c r="Q35" s="127"/>
      <c r="R35" s="127"/>
      <c r="S35" s="128"/>
      <c r="T35" s="128"/>
      <c r="U35" s="18"/>
      <c r="V35" s="18"/>
      <c r="W35" s="18"/>
      <c r="X35" s="18"/>
      <c r="Y35" s="18"/>
      <c r="Z35" s="13"/>
    </row>
    <row r="36" spans="1:29" s="21" customFormat="1" ht="24">
      <c r="A36" s="1" t="s">
        <v>184</v>
      </c>
      <c r="B36" s="17">
        <v>2330</v>
      </c>
      <c r="C36" s="130">
        <f>2410-301</f>
        <v>2109</v>
      </c>
      <c r="D36" s="17">
        <v>1697.6</v>
      </c>
      <c r="E36" s="18">
        <f>2330-1432+1548</f>
        <v>2446</v>
      </c>
      <c r="F36" s="18"/>
      <c r="G36" s="18"/>
      <c r="H36" s="40">
        <f>-1260*0*5/5+7/7*99/99*134</f>
        <v>134</v>
      </c>
      <c r="I36" s="18">
        <f>-450-116-38-20-41-35</f>
        <v>-700</v>
      </c>
      <c r="J36" s="18"/>
      <c r="K36" s="40">
        <f t="shared" si="9"/>
        <v>1880</v>
      </c>
      <c r="L36" s="19" t="s">
        <v>29</v>
      </c>
      <c r="M36" s="57">
        <f>26404.65*0+2/2*190984.75*0+3/3*468140.99*0+4/4*722345.11*0+5/5*950888.79*0+6/6*1084576.98*0+7/7*1378150.96*0+8/8*(1546577.97+33927)*0+9/9*1816936.53*0+10/10*(2111037.4*0+11/11*2345998.67*0+12/12*2618554.3-81/81*(115950*0+12/12*224000)-13305/13305*M98)+9021/9021*(599.55*0+2/2*598.54*0+3/3*605.28*0*4/4*0+9/9*594*0+10/10*0)+43512/43512*(36*0+2/2*3788*0+3/3*7540*0+4/4*69*0+5/5*3821*0+6/6*7573*0+7/7*105*0+8/8*3857*0+9/9*7609*0+10/10*11394*0+11/11*3890*0+12/12*138)+8/8*(3/3)*16393.3</f>
        <v>1151085.5999999999</v>
      </c>
      <c r="N36" s="72">
        <f t="shared" si="13"/>
        <v>0.612279574468085</v>
      </c>
      <c r="O36" s="33"/>
      <c r="P36" s="19"/>
      <c r="Q36" s="131">
        <v>480</v>
      </c>
      <c r="R36" s="131">
        <v>480</v>
      </c>
      <c r="S36" s="132">
        <v>480</v>
      </c>
      <c r="T36" s="18">
        <f>480*1.05-4</f>
        <v>500</v>
      </c>
      <c r="U36" s="18"/>
      <c r="V36" s="18"/>
      <c r="W36" s="18"/>
      <c r="X36" s="18">
        <v>-60</v>
      </c>
      <c r="Y36" s="18"/>
      <c r="Z36" s="13">
        <f t="shared" si="14"/>
        <v>440</v>
      </c>
      <c r="AA36" s="57" t="s">
        <v>43</v>
      </c>
      <c r="AB36" s="28">
        <f>34775+2/2*38086+3/3*35001+4/4*48518+5/5*37972+6/6*35643+7/7*37061+8/8*32115+9/9*35940+10/10*36304+11/11*33386+12/12*35126</f>
        <v>439927</v>
      </c>
      <c r="AC36" s="72">
        <f>AB36/(Z36*1000)</f>
        <v>0.9998340909090909</v>
      </c>
    </row>
    <row r="37" spans="1:28" ht="12.75">
      <c r="A37" s="1" t="s">
        <v>9</v>
      </c>
      <c r="C37" s="17">
        <v>63</v>
      </c>
      <c r="D37" s="17">
        <v>62.6</v>
      </c>
      <c r="E37" s="11">
        <v>50</v>
      </c>
      <c r="F37" s="11"/>
      <c r="G37" s="11"/>
      <c r="I37" s="18"/>
      <c r="J37" s="40"/>
      <c r="K37" s="40">
        <f t="shared" si="9"/>
        <v>50</v>
      </c>
      <c r="M37" s="14">
        <f>3712*0+2/2*8188*0+3/3*13124*0+4/4*17748*0+5/5*21648*0+6/6*25158*0+7/7*28706*0+8/8*32066*0+9/9*35678*0+10/10*39096*0+11/11*42702*0+12/12*46158</f>
        <v>46158</v>
      </c>
      <c r="N37" s="72">
        <f t="shared" si="13"/>
        <v>0.92316</v>
      </c>
      <c r="P37" s="46" t="s">
        <v>92</v>
      </c>
      <c r="Q37" s="133"/>
      <c r="R37" s="133"/>
      <c r="S37" s="11"/>
      <c r="T37" s="11"/>
      <c r="U37" s="11"/>
      <c r="V37" s="11"/>
      <c r="W37" s="11"/>
      <c r="X37" s="11"/>
      <c r="Y37" s="11"/>
      <c r="Z37" s="10">
        <f t="shared" si="14"/>
        <v>0</v>
      </c>
      <c r="AB37" s="28">
        <f>(-69+1873)*0+2/2*(71/71*9431+82/82*1855+85/85*17479-28765)+3/3*(71/71*1431+85/85*-4431+3000)+4/4*(71/71*5481+85/85*-555-4926)+5/5*(71/71*1431+85/85*-1032-399)+6/6*(71/71*1431-85/85*4180+2749)+7/7*(71/71*1431+85/85*-3895)*0+8/8*(71/71*-569+85/85*-5546+95/95*2000)*9/9*10/10*0+11/11*(71/71*-569+85/85*-5517+95/95*2000)*0+12/12*(71/71*-569+85/85*-7346)</f>
        <v>-7915</v>
      </c>
    </row>
    <row r="38" spans="1:26" ht="12.75">
      <c r="A38" s="1" t="s">
        <v>10</v>
      </c>
      <c r="C38" s="17">
        <f>8+34</f>
        <v>42</v>
      </c>
      <c r="D38" s="17">
        <f>7.7+33.7</f>
        <v>41.400000000000006</v>
      </c>
      <c r="E38" s="11">
        <v>30</v>
      </c>
      <c r="F38" s="11"/>
      <c r="G38" s="11"/>
      <c r="H38" s="11">
        <f>2209/2209*(50+14+11+2)</f>
        <v>77</v>
      </c>
      <c r="I38" s="18"/>
      <c r="J38" s="40"/>
      <c r="K38" s="40">
        <f t="shared" si="9"/>
        <v>107</v>
      </c>
      <c r="M38" s="14">
        <f>307*0+2/2*433*0+3/3*2003*0+4/4*3188*0+5/5*12124*0+6/6*(12373*0+7/7*12420*0+9/9*16921*0+10/10*18470*0+11/11*18938*0+12/12*27510+70810/70810*(14060*0+7/7*29100*0+8/8*41710*0+9/9*45765*0+12/12*30230))</f>
        <v>57740</v>
      </c>
      <c r="N38" s="72">
        <f t="shared" si="13"/>
        <v>0.5396261682242991</v>
      </c>
      <c r="Q38" s="133"/>
      <c r="R38" s="133"/>
      <c r="S38" s="11"/>
      <c r="T38" s="11"/>
      <c r="U38" s="11"/>
      <c r="V38" s="11"/>
      <c r="W38" s="11"/>
      <c r="X38" s="11"/>
      <c r="Y38" s="11"/>
      <c r="Z38" s="10">
        <f t="shared" si="14"/>
        <v>0</v>
      </c>
    </row>
    <row r="39" spans="1:26" ht="12.75">
      <c r="A39" s="1" t="s">
        <v>11</v>
      </c>
      <c r="C39" s="17">
        <v>6</v>
      </c>
      <c r="D39" s="17">
        <v>5.8</v>
      </c>
      <c r="E39" s="11"/>
      <c r="F39" s="11"/>
      <c r="G39" s="11"/>
      <c r="I39" s="18"/>
      <c r="J39" s="40"/>
      <c r="K39" s="40">
        <f t="shared" si="9"/>
        <v>0</v>
      </c>
      <c r="P39" s="14"/>
      <c r="Q39" s="133"/>
      <c r="R39" s="133"/>
      <c r="S39" s="11"/>
      <c r="T39" s="11"/>
      <c r="U39" s="11"/>
      <c r="V39" s="11"/>
      <c r="W39" s="11"/>
      <c r="X39" s="11"/>
      <c r="Y39" s="11"/>
      <c r="Z39" s="10">
        <f t="shared" si="14"/>
        <v>0</v>
      </c>
    </row>
    <row r="40" spans="1:26" ht="12.75">
      <c r="A40" s="1" t="s">
        <v>12</v>
      </c>
      <c r="C40" s="17">
        <f>157+25</f>
        <v>182</v>
      </c>
      <c r="D40" s="17">
        <f>126.9+25</f>
        <v>151.9</v>
      </c>
      <c r="E40" s="11">
        <f>100+0</f>
        <v>100</v>
      </c>
      <c r="F40" s="11"/>
      <c r="G40" s="11"/>
      <c r="H40" s="11">
        <f>2209/2209*45</f>
        <v>45</v>
      </c>
      <c r="I40" s="18">
        <v>101</v>
      </c>
      <c r="J40" s="40"/>
      <c r="K40" s="40">
        <f t="shared" si="9"/>
        <v>246</v>
      </c>
      <c r="M40" s="14">
        <f>2/2*3000*0+2412/2412*(2009/2009*(5450*0+2/2*8268)+2010/2010*9100)+3/3*50572*0+4/4*(7642*0+5/5*38732*0+6/6*26762*0+7/7*50522*0+8/8*54022*0+9/9*97032*0+10/10*150382*0+11/11*174942*0+12/12*207219+4351/4351*(12550*0+6/6*45550*0+7/7*12550*0+9/9*45550*0+10/10*13050*0+12/12*13550))</f>
        <v>238137</v>
      </c>
      <c r="N40" s="72">
        <f t="shared" si="13"/>
        <v>0.9680365853658537</v>
      </c>
      <c r="Q40" s="133"/>
      <c r="R40" s="133"/>
      <c r="S40" s="11"/>
      <c r="T40" s="11"/>
      <c r="U40" s="11"/>
      <c r="V40" s="11"/>
      <c r="W40" s="11"/>
      <c r="X40" s="11"/>
      <c r="Y40" s="11"/>
      <c r="Z40" s="10">
        <f t="shared" si="14"/>
        <v>0</v>
      </c>
    </row>
    <row r="41" spans="1:31" ht="12.75">
      <c r="A41" s="47" t="s">
        <v>117</v>
      </c>
      <c r="B41" s="2">
        <f aca="true" t="shared" si="15" ref="B41:I41">SUM(B32:B40)</f>
        <v>3120</v>
      </c>
      <c r="C41" s="2">
        <f t="shared" si="15"/>
        <v>4854</v>
      </c>
      <c r="D41" s="2">
        <f t="shared" si="15"/>
        <v>4411.9</v>
      </c>
      <c r="E41" s="38">
        <f t="shared" si="15"/>
        <v>3176</v>
      </c>
      <c r="F41" s="38">
        <f t="shared" si="15"/>
        <v>0</v>
      </c>
      <c r="G41" s="38">
        <f t="shared" si="15"/>
        <v>0</v>
      </c>
      <c r="H41" s="38">
        <f t="shared" si="15"/>
        <v>1686</v>
      </c>
      <c r="I41" s="38">
        <f t="shared" si="15"/>
        <v>-245</v>
      </c>
      <c r="J41" s="38"/>
      <c r="K41" s="38">
        <f>SUM(K32:K40)</f>
        <v>4617</v>
      </c>
      <c r="L41" s="117"/>
      <c r="M41" s="89">
        <f>SUM(M32:M40)</f>
        <v>3795756.9899999993</v>
      </c>
      <c r="N41" s="73">
        <f>M41/(K41*1000)</f>
        <v>0.822126270305393</v>
      </c>
      <c r="O41" s="118">
        <f>2/2*3823019.37-(M41+M95+M96)</f>
        <v>-22447889.619999997</v>
      </c>
      <c r="P41" s="129">
        <f>(K41+K95+K96+K97+K98+K108-3/3*25986*0-7/7*27520*0-9/9*27172*0-11/11*28732*0-12/12*29636)*0+(M41+M108+M95+M96+M97+M98+(M106-9/9*115100)-3/3*6397591.67*0-4/4*8586871.85*0-5/5*10815315.01*0-6/6*12775096.03*0-7/7*15539350.35*0-8/8*17508488.49*0-9/9*19910637.88*0-10/10*22230829.58*0-11/11*24464576.36*0-12/12*27828908.99)</f>
        <v>0</v>
      </c>
      <c r="Q41" s="39">
        <f aca="true" t="shared" si="16" ref="Q41:Y41">SUM(Q32:Q40)</f>
        <v>480</v>
      </c>
      <c r="R41" s="39">
        <f t="shared" si="16"/>
        <v>480</v>
      </c>
      <c r="S41" s="38">
        <f t="shared" si="16"/>
        <v>480</v>
      </c>
      <c r="T41" s="38">
        <f t="shared" si="16"/>
        <v>500</v>
      </c>
      <c r="U41" s="38">
        <f t="shared" si="16"/>
        <v>0</v>
      </c>
      <c r="V41" s="38">
        <f t="shared" si="16"/>
        <v>0</v>
      </c>
      <c r="W41" s="38">
        <f t="shared" si="16"/>
        <v>0</v>
      </c>
      <c r="X41" s="38">
        <f t="shared" si="16"/>
        <v>-60</v>
      </c>
      <c r="Y41" s="38">
        <f t="shared" si="16"/>
        <v>0</v>
      </c>
      <c r="Z41" s="9">
        <f>SUM(Z32:Z40)</f>
        <v>440</v>
      </c>
      <c r="AA41" s="120"/>
      <c r="AB41" s="113">
        <f>SUM(AB32:AB40)</f>
        <v>432012</v>
      </c>
      <c r="AC41" s="73">
        <f>AB41/(Z41*1000)</f>
        <v>0.9818454545454546</v>
      </c>
      <c r="AD41" s="118">
        <f>2/2*5001626-(AB41+AB95+AB96)</f>
        <v>-18509386</v>
      </c>
      <c r="AE41" s="112">
        <f>Z41+Z95+Z96+Z97+Z98+Z108-3/3*23310*0-9/9*22810*0-11/11*24370*0-12/12*25459+(AB41+AB108+AB95+AB96+AB97+AB98-3/3*7074862*0-4/4*8865306*0-5/5*11451751*0-6/6*13507246*0-7/7*15609592*0-8/8*17526056*0-9/9*(18954996+500000)*0-10/10*21432300*0-11/11*23054715*0-12/12*24851012)</f>
        <v>0</v>
      </c>
    </row>
    <row r="42" spans="1:31" ht="22.5">
      <c r="A42" s="1" t="s">
        <v>13</v>
      </c>
      <c r="B42" s="17">
        <v>622</v>
      </c>
      <c r="C42" s="17">
        <v>622</v>
      </c>
      <c r="D42" s="17">
        <v>604.1</v>
      </c>
      <c r="E42" s="18">
        <f>(622*1.2+3.6-750)+622-255+493</f>
        <v>860</v>
      </c>
      <c r="F42" s="18"/>
      <c r="G42" s="18"/>
      <c r="H42" s="18"/>
      <c r="I42" s="18"/>
      <c r="J42" s="18"/>
      <c r="K42" s="40">
        <f t="shared" si="9"/>
        <v>860</v>
      </c>
      <c r="L42" s="19" t="s">
        <v>30</v>
      </c>
      <c r="M42" s="57">
        <f>13826.05*0+2/2*71671.05*0+3/3*176340.05*0+4/4*166891.55*0+5/5*241332.55*0+6/6*309171.05*0+7/7*302910.55*0+8/8*429120.71*0+9/9*505176.21*0+10/10*663393.37*0+11/11*596985.68*0+12/12*668544.3</f>
        <v>668544.3</v>
      </c>
      <c r="N42" s="72">
        <f t="shared" si="13"/>
        <v>0.7773770930232559</v>
      </c>
      <c r="P42" s="19"/>
      <c r="Q42" s="131"/>
      <c r="R42" s="131"/>
      <c r="S42" s="132"/>
      <c r="T42" s="132"/>
      <c r="U42" s="18"/>
      <c r="V42" s="18"/>
      <c r="W42" s="18"/>
      <c r="X42" s="18">
        <v>63</v>
      </c>
      <c r="Y42" s="18"/>
      <c r="Z42" s="13">
        <f aca="true" t="shared" si="17" ref="Z42:Z50">SUM(T42:Y42)</f>
        <v>63</v>
      </c>
      <c r="AB42" s="28">
        <f>1/1*(18101-17830)+2/2*(40127-39557)+3/3*(-841+2033)+4/4*(-2033+606)+5/5*(-606+2415)+6/6*(-2415+3218)+7/7*(-3218+101)*0+8/8*(-3218+23156)*0+9/9*(-2004)*0+10/10*-2036*0+11/11*-1340*0+12/12*-3218+4153/4153*62912.12</f>
        <v>62912.12</v>
      </c>
      <c r="AC42" s="72">
        <f>AB42/(Z42*1000)</f>
        <v>0.9986050793650794</v>
      </c>
      <c r="AD42" s="21"/>
      <c r="AE42" s="3" t="s">
        <v>174</v>
      </c>
    </row>
    <row r="43" spans="1:31" ht="12.75">
      <c r="A43" s="1" t="s">
        <v>14</v>
      </c>
      <c r="B43" s="17">
        <v>1828</v>
      </c>
      <c r="C43" s="17">
        <f>1828-40</f>
        <v>1788</v>
      </c>
      <c r="D43" s="17">
        <v>1764.1</v>
      </c>
      <c r="E43" s="18">
        <f>1828-984+1021</f>
        <v>1865</v>
      </c>
      <c r="F43" s="18"/>
      <c r="G43" s="18"/>
      <c r="H43" s="18"/>
      <c r="I43" s="18"/>
      <c r="J43" s="18"/>
      <c r="K43" s="40">
        <f t="shared" si="9"/>
        <v>1865</v>
      </c>
      <c r="L43" s="19" t="s">
        <v>31</v>
      </c>
      <c r="M43" s="57">
        <f>55490.16*0+2/2*186136.58*0+3/3*367090.02*0+4/4*585585.11*0+5/5*727334.5*0+6/6*861257.31*0+7/7*1034807.9*0+8/8*1302135.35*0+9/9*1464870.34*0+10/10*1712978.95*0+11/11*1838840.49*0+12/12*2124311.69-81/81*51700</f>
        <v>2072611.69</v>
      </c>
      <c r="N43" s="72">
        <f t="shared" si="13"/>
        <v>1.1113199410187666</v>
      </c>
      <c r="P43" s="19"/>
      <c r="Q43" s="131">
        <v>130</v>
      </c>
      <c r="R43" s="131">
        <v>130</v>
      </c>
      <c r="S43" s="132">
        <v>130</v>
      </c>
      <c r="T43" s="132">
        <v>130</v>
      </c>
      <c r="U43" s="18"/>
      <c r="V43" s="18"/>
      <c r="W43" s="18"/>
      <c r="X43" s="18">
        <v>-7</v>
      </c>
      <c r="Y43" s="18"/>
      <c r="Z43" s="13">
        <f t="shared" si="17"/>
        <v>123</v>
      </c>
      <c r="AB43" s="28">
        <f>16875+2/2*16238+4/4*24509+6/6*10133+7/7*11803*0+8/8*17296+10/10*12186+11/11*36037+12/12*16571</f>
        <v>149845</v>
      </c>
      <c r="AC43" s="72">
        <f>AB43/(Z43*1000)</f>
        <v>1.2182520325203252</v>
      </c>
      <c r="AD43" s="21"/>
      <c r="AE43" s="28">
        <f>0+4153/4153*62912.12-AB42</f>
        <v>0</v>
      </c>
    </row>
    <row r="44" spans="1:29" s="21" customFormat="1" ht="12.75">
      <c r="A44" s="1" t="s">
        <v>15</v>
      </c>
      <c r="B44" s="17">
        <v>572</v>
      </c>
      <c r="C44" s="17">
        <f>632+560</f>
        <v>1192</v>
      </c>
      <c r="D44" s="17">
        <v>1185.9</v>
      </c>
      <c r="E44" s="18">
        <f>(572*1.2+13.6-700)+572-215+353</f>
        <v>710</v>
      </c>
      <c r="F44" s="18"/>
      <c r="G44" s="18"/>
      <c r="H44" s="18"/>
      <c r="I44" s="18"/>
      <c r="J44" s="18"/>
      <c r="K44" s="40">
        <f t="shared" si="9"/>
        <v>710</v>
      </c>
      <c r="L44" s="19" t="s">
        <v>32</v>
      </c>
      <c r="M44" s="57">
        <f>6628.05*0+2/2*50078.05*0+3/3*175446.01*0+4/4*219083.05*0+5/5*342349.48*0+6/6*415308.46*0+7/7*530050.5*0+8/8*694381.48*0+9/9*997749.16*0+10/10*(1124266.14*0+11/11*1907159.08*0+12/12*955519.6+44/44*(582866*0+12/12*1726749.7))-M45</f>
        <v>955519.5999999999</v>
      </c>
      <c r="N44" s="72">
        <f t="shared" si="13"/>
        <v>1.3458022535211265</v>
      </c>
      <c r="O44" s="33"/>
      <c r="P44" s="19"/>
      <c r="Q44" s="131"/>
      <c r="R44" s="131"/>
      <c r="S44" s="132"/>
      <c r="T44" s="128">
        <v>140</v>
      </c>
      <c r="U44" s="18"/>
      <c r="V44" s="18"/>
      <c r="W44" s="18"/>
      <c r="X44" s="18">
        <v>-40</v>
      </c>
      <c r="Y44" s="18"/>
      <c r="Z44" s="13">
        <f t="shared" si="17"/>
        <v>100</v>
      </c>
      <c r="AA44" s="6"/>
      <c r="AB44" s="28">
        <f>2200+2/2*1000+9/9*38450+10/10*51650+11/11*7100</f>
        <v>100400</v>
      </c>
      <c r="AC44" s="72">
        <f>AB44/(Z44*1000)</f>
        <v>1.004</v>
      </c>
    </row>
    <row r="45" spans="1:29" s="21" customFormat="1" ht="23.25">
      <c r="A45" s="1" t="s">
        <v>185</v>
      </c>
      <c r="B45" s="17">
        <v>572</v>
      </c>
      <c r="C45" s="17">
        <f>632+560</f>
        <v>1192</v>
      </c>
      <c r="D45" s="17">
        <v>1185.9</v>
      </c>
      <c r="E45" s="18"/>
      <c r="F45" s="18"/>
      <c r="G45" s="18"/>
      <c r="H45" s="18">
        <f>7/7*99/99*4000</f>
        <v>4000</v>
      </c>
      <c r="I45" s="18"/>
      <c r="J45" s="18"/>
      <c r="K45" s="40">
        <f>SUM(E45:J45)</f>
        <v>4000</v>
      </c>
      <c r="L45" s="19" t="s">
        <v>32</v>
      </c>
      <c r="M45" s="57">
        <f>7/7*6121/6121*92045*0+8/8*(190407*0+9/9*355770.7*0+11/11*1072803.7*0+44/44*(10/10*582866*0+12/12*1726749.7))</f>
        <v>1726749.7</v>
      </c>
      <c r="N45" s="72">
        <f>M45/(K45*1000)</f>
        <v>0.431687425</v>
      </c>
      <c r="O45" s="33"/>
      <c r="P45" s="20"/>
      <c r="Q45" s="131"/>
      <c r="R45" s="131"/>
      <c r="S45" s="132"/>
      <c r="T45" s="128"/>
      <c r="U45" s="18"/>
      <c r="V45" s="18"/>
      <c r="W45" s="18"/>
      <c r="X45" s="18"/>
      <c r="Y45" s="18"/>
      <c r="Z45" s="13"/>
      <c r="AA45" s="6"/>
      <c r="AB45" s="28"/>
      <c r="AC45" s="72"/>
    </row>
    <row r="46" spans="1:26" ht="12.75">
      <c r="A46" s="1" t="s">
        <v>116</v>
      </c>
      <c r="B46" s="17">
        <v>28</v>
      </c>
      <c r="C46" s="130">
        <f>28+10</f>
        <v>38</v>
      </c>
      <c r="D46" s="17">
        <v>37.7</v>
      </c>
      <c r="E46" s="18">
        <f>12+16*0</f>
        <v>12</v>
      </c>
      <c r="F46" s="18"/>
      <c r="G46" s="18"/>
      <c r="H46" s="18"/>
      <c r="I46" s="18"/>
      <c r="J46" s="18"/>
      <c r="K46" s="40">
        <f t="shared" si="9"/>
        <v>12</v>
      </c>
      <c r="L46" s="19" t="s">
        <v>33</v>
      </c>
      <c r="M46" s="57">
        <f>2/2*1000+3/3*1000+4/4*1000+5/5*1000+6/6*1000+7/7*1000+8/8*1000+9/9*1000+10/10*1000+11/11*1000+12/12*2000</f>
        <v>12000</v>
      </c>
      <c r="N46" s="72">
        <f t="shared" si="13"/>
        <v>1</v>
      </c>
      <c r="P46" s="19"/>
      <c r="Q46" s="131"/>
      <c r="R46" s="131"/>
      <c r="S46" s="132"/>
      <c r="T46" s="132"/>
      <c r="U46" s="18"/>
      <c r="V46" s="18"/>
      <c r="W46" s="18"/>
      <c r="X46" s="18"/>
      <c r="Y46" s="18"/>
      <c r="Z46" s="13">
        <f t="shared" si="17"/>
        <v>0</v>
      </c>
    </row>
    <row r="47" spans="1:28" ht="12.75">
      <c r="A47" s="1" t="s">
        <v>115</v>
      </c>
      <c r="C47" s="17">
        <f>(13-10)+(21+19)+(0+5)+0+(0+16)</f>
        <v>64</v>
      </c>
      <c r="D47" s="17">
        <f>3+40+5+0.4+15.5</f>
        <v>63.9</v>
      </c>
      <c r="E47" s="18">
        <f>12*0+16</f>
        <v>16</v>
      </c>
      <c r="F47" s="13"/>
      <c r="G47" s="13"/>
      <c r="H47" s="40"/>
      <c r="I47" s="18"/>
      <c r="J47" s="13"/>
      <c r="K47" s="40">
        <f t="shared" si="9"/>
        <v>16</v>
      </c>
      <c r="L47" s="8" t="s">
        <v>34</v>
      </c>
      <c r="M47" s="14">
        <f>2/2*-2826*0+4/4*-1693.12*0+8/8*-1624.12*0+9/9*826.28*0+11/11*1305.28+12/12*100</f>
        <v>1405.28</v>
      </c>
      <c r="N47" s="72">
        <f t="shared" si="13"/>
        <v>0.08782999999999999</v>
      </c>
      <c r="P47" s="8"/>
      <c r="Q47" s="17">
        <v>140</v>
      </c>
      <c r="R47" s="17">
        <v>140</v>
      </c>
      <c r="S47" s="10">
        <v>140</v>
      </c>
      <c r="W47" s="11"/>
      <c r="X47" s="11"/>
      <c r="Y47" s="11"/>
      <c r="Z47" s="11">
        <f t="shared" si="17"/>
        <v>0</v>
      </c>
      <c r="AA47" s="7"/>
      <c r="AB47" s="56"/>
    </row>
    <row r="48" spans="1:29" s="21" customFormat="1" ht="12.75">
      <c r="A48" s="1" t="s">
        <v>16</v>
      </c>
      <c r="B48" s="17"/>
      <c r="C48" s="17">
        <f>(13-10)+(21+19)+(0+5)+0+(0+16)</f>
        <v>64</v>
      </c>
      <c r="D48" s="17">
        <f>3+40+5+0.4+15.5</f>
        <v>63.9</v>
      </c>
      <c r="E48" s="10">
        <f>35+60+40+50+150</f>
        <v>335</v>
      </c>
      <c r="F48" s="10"/>
      <c r="G48" s="10">
        <f>1606/1606*221</f>
        <v>221</v>
      </c>
      <c r="H48" s="11">
        <f>2209/2209*-158-221</f>
        <v>-379</v>
      </c>
      <c r="I48" s="18"/>
      <c r="J48" s="13"/>
      <c r="K48" s="13">
        <f>SUM(E48:J48)</f>
        <v>177</v>
      </c>
      <c r="L48" s="8"/>
      <c r="M48" s="14">
        <f>6/6*(40610/40610*250+190610/190610*4418)+180910/180910*(9/9*47310*0+11/11*52368)+12/12*(91010/91010*16162+2412/2412*5000)</f>
        <v>78198</v>
      </c>
      <c r="N48" s="72">
        <f t="shared" si="13"/>
        <v>0.4417966101694915</v>
      </c>
      <c r="O48" s="33"/>
      <c r="P48" s="134">
        <f>910/910*90+1809/1809*62+1906/1906*5+2412/2412*20</f>
        <v>177</v>
      </c>
      <c r="Q48" s="17"/>
      <c r="R48" s="17"/>
      <c r="S48" s="10"/>
      <c r="T48" s="10"/>
      <c r="U48" s="10"/>
      <c r="V48" s="10"/>
      <c r="W48" s="11"/>
      <c r="X48" s="11"/>
      <c r="Y48" s="11"/>
      <c r="Z48" s="11"/>
      <c r="AA48" s="7"/>
      <c r="AB48" s="56"/>
      <c r="AC48" s="72"/>
    </row>
    <row r="49" spans="1:29" s="21" customFormat="1" ht="12.75">
      <c r="A49" s="1" t="s">
        <v>17</v>
      </c>
      <c r="B49" s="17">
        <v>33200</v>
      </c>
      <c r="C49" s="135">
        <f>33200+(6186+(296+41)+1112/1112*153+5000)</f>
        <v>44876</v>
      </c>
      <c r="D49" s="135">
        <f>(39386.1+152.4)+(596-300)+5000</f>
        <v>44834.5</v>
      </c>
      <c r="E49" s="136"/>
      <c r="F49" s="136"/>
      <c r="G49" s="136"/>
      <c r="H49" s="137">
        <f>500-(300-115*2)-430*5/5</f>
        <v>0</v>
      </c>
      <c r="I49" s="18">
        <f>500+2*115+(138+249)+97*0*8233/8233-1117*9/9+12/12*(500+(52+65+322))</f>
        <v>939</v>
      </c>
      <c r="J49" s="13"/>
      <c r="K49" s="13">
        <f t="shared" si="9"/>
        <v>939</v>
      </c>
      <c r="L49" s="7"/>
      <c r="M49" s="14">
        <f>38070*0+2/2*482096+3/3*678+4/4*946.44+6/6*(500000)+7/7*230000+8/8*(8233/8233)*(152000*0+9/9*321437)+12/12*-245164.65+8233/8233*321437-(25000+51272.35)</f>
        <v>1535157.44</v>
      </c>
      <c r="N49" s="72">
        <f t="shared" si="13"/>
        <v>1.6348854526091585</v>
      </c>
      <c r="O49" s="33"/>
      <c r="P49" s="88" t="s">
        <v>151</v>
      </c>
      <c r="Q49" s="17"/>
      <c r="R49" s="17"/>
      <c r="S49" s="10"/>
      <c r="T49" s="10"/>
      <c r="U49" s="10"/>
      <c r="V49" s="10"/>
      <c r="W49" s="11"/>
      <c r="X49" s="11">
        <f>300*(0*9/9+12/12)</f>
        <v>300</v>
      </c>
      <c r="Y49" s="11"/>
      <c r="Z49" s="11">
        <f t="shared" si="17"/>
        <v>300</v>
      </c>
      <c r="AA49" s="7"/>
      <c r="AB49" s="56">
        <f>7/7*300000</f>
        <v>300000</v>
      </c>
      <c r="AC49" s="72">
        <f>AB49/(Z49*1000)</f>
        <v>1</v>
      </c>
    </row>
    <row r="50" spans="1:28" ht="21.75">
      <c r="A50" s="1" t="s">
        <v>142</v>
      </c>
      <c r="C50" s="17">
        <v>72</v>
      </c>
      <c r="D50" s="17">
        <f>64.9+7.1</f>
        <v>72</v>
      </c>
      <c r="I50" s="18"/>
      <c r="J50" s="13"/>
      <c r="K50" s="13">
        <f t="shared" si="9"/>
        <v>0</v>
      </c>
      <c r="M50" s="14">
        <f>38622*0+2/2*482096*0+3/3*482774*0+4/4*483720.44*0+6/6*1034992.79*0+7/7*1264992.79*0+12/12*1289992.79-(M49-(8233/8233*152000*0+321437))</f>
        <v>76272.3500000001</v>
      </c>
      <c r="O50" s="33">
        <f>76272.35*0-51272.35-25000</f>
        <v>-76272.35</v>
      </c>
      <c r="P50" s="138"/>
      <c r="W50" s="11"/>
      <c r="X50" s="11"/>
      <c r="Y50" s="11"/>
      <c r="Z50" s="11">
        <f t="shared" si="17"/>
        <v>0</v>
      </c>
      <c r="AA50" s="7"/>
      <c r="AB50" s="56"/>
    </row>
    <row r="51" spans="1:31" ht="15" customHeight="1">
      <c r="A51" s="47" t="s">
        <v>118</v>
      </c>
      <c r="B51" s="2">
        <f aca="true" t="shared" si="18" ref="B51:I51">SUM(B42:B50)</f>
        <v>36822</v>
      </c>
      <c r="C51" s="2">
        <f t="shared" si="18"/>
        <v>49908</v>
      </c>
      <c r="D51" s="2">
        <f t="shared" si="18"/>
        <v>49812</v>
      </c>
      <c r="E51" s="9">
        <f t="shared" si="18"/>
        <v>3798</v>
      </c>
      <c r="F51" s="9">
        <f t="shared" si="18"/>
        <v>0</v>
      </c>
      <c r="G51" s="9">
        <f t="shared" si="18"/>
        <v>221</v>
      </c>
      <c r="H51" s="38">
        <f t="shared" si="18"/>
        <v>3621</v>
      </c>
      <c r="I51" s="38">
        <f t="shared" si="18"/>
        <v>939</v>
      </c>
      <c r="J51" s="9"/>
      <c r="K51" s="9">
        <f>SUM(K42:K50)</f>
        <v>8579</v>
      </c>
      <c r="L51" s="117"/>
      <c r="M51" s="89">
        <f>SUM(M42:M50)</f>
        <v>7126458.359999999</v>
      </c>
      <c r="N51" s="73">
        <f>M51/(K51*1000)</f>
        <v>0.8306863690406807</v>
      </c>
      <c r="O51" s="118">
        <f>2/2*788155.68-M51</f>
        <v>-6338302.68</v>
      </c>
      <c r="P51" s="119">
        <f>(K51+K107-3/3*3798*0-4/4*(3849.7+160610/160610*221*0)*0-7/7*7849.7*0-9/9*7691.7*0-12/12*8630.7)+(M51+M107-3/3*1200824.08*0-4/4*1456587.03*0-5/5*1797043.85*0-6/6*2628704.49*0-7/7*3141736.62*0-8/8*3886601.21*0-9/9*4615029.78*0-10/10*5731738.53*0-11/11*6580622.32*0-12/12*7178158.36)</f>
        <v>-9.313225746154785E-10</v>
      </c>
      <c r="Q51" s="2">
        <f aca="true" t="shared" si="19" ref="Q51:Y51">SUM(Q42:Q50)</f>
        <v>270</v>
      </c>
      <c r="R51" s="2">
        <f t="shared" si="19"/>
        <v>270</v>
      </c>
      <c r="S51" s="9">
        <f t="shared" si="19"/>
        <v>270</v>
      </c>
      <c r="T51" s="9">
        <f t="shared" si="19"/>
        <v>270</v>
      </c>
      <c r="U51" s="9">
        <f t="shared" si="19"/>
        <v>0</v>
      </c>
      <c r="V51" s="9">
        <f t="shared" si="19"/>
        <v>0</v>
      </c>
      <c r="W51" s="38">
        <f t="shared" si="19"/>
        <v>0</v>
      </c>
      <c r="X51" s="38">
        <f t="shared" si="19"/>
        <v>316</v>
      </c>
      <c r="Y51" s="38">
        <f t="shared" si="19"/>
        <v>0</v>
      </c>
      <c r="Z51" s="38">
        <f>SUM(Z42:Z50)</f>
        <v>586</v>
      </c>
      <c r="AA51" s="117"/>
      <c r="AB51" s="96">
        <f>SUM(AB42:AB50)</f>
        <v>613157.12</v>
      </c>
      <c r="AC51" s="73">
        <f>AB51/(Z51*1000)</f>
        <v>1.0463432081911264</v>
      </c>
      <c r="AD51" s="118">
        <f>2/2*37154-AB51</f>
        <v>-576003.12</v>
      </c>
      <c r="AE51" s="112">
        <f>(Z51+Z107-3/3*270*0-4/4*321.7*0-12/12*637.7)+(AB51+AB107-3/3*38346*0-4/4*113128*0-5/5*114937*0-6/6*125873*0-7/7*434559*0-8/8*463107*0-9/9*479615*0-10/10*606331.12*0-11/11*650164.12*0-12/12*664857.12)</f>
        <v>0</v>
      </c>
    </row>
    <row r="52" spans="1:28" ht="12.75">
      <c r="A52" s="1" t="s">
        <v>18</v>
      </c>
      <c r="B52" s="17">
        <v>350</v>
      </c>
      <c r="C52" s="17">
        <v>350</v>
      </c>
      <c r="D52" s="17">
        <f>394.3-102+55.5</f>
        <v>347.8</v>
      </c>
      <c r="E52" s="10">
        <v>350</v>
      </c>
      <c r="K52" s="10">
        <f t="shared" si="9"/>
        <v>350</v>
      </c>
      <c r="M52" s="14">
        <f>14205.05*0+2/2*38597.05*0+3/3*149112.89*0+4/4*210488.05*0+5/5*(260046.47*0+6/6*304954.89*0+7/7*(308058.05*0+8/8*316784.47*0+9/9*(331931.89*0+10/10*356273.31*0+11/11*378799.45*0+12/12*383328.45-M117)+1/1*(4589*0+9/9*8856*0+12/12*9424))+10610/10610*8081)</f>
        <v>338833.45</v>
      </c>
      <c r="N52" s="72">
        <f>M52/(K52*1000)</f>
        <v>0.9680955714285715</v>
      </c>
      <c r="W52" s="11"/>
      <c r="X52" s="11"/>
      <c r="Y52" s="11"/>
      <c r="Z52" s="11">
        <f>SUM(T52:Y52)</f>
        <v>0</v>
      </c>
      <c r="AA52" s="7"/>
      <c r="AB52" s="56"/>
    </row>
    <row r="53" spans="23:28" ht="12.75">
      <c r="W53" s="11"/>
      <c r="X53" s="11"/>
      <c r="Y53" s="11"/>
      <c r="Z53" s="11"/>
      <c r="AA53" s="7"/>
      <c r="AB53" s="56"/>
    </row>
    <row r="54" spans="1:31" ht="15" customHeight="1">
      <c r="A54" s="47" t="s">
        <v>119</v>
      </c>
      <c r="B54" s="2">
        <f aca="true" t="shared" si="20" ref="B54:I54">SUM(B52:B53)</f>
        <v>350</v>
      </c>
      <c r="C54" s="2">
        <f t="shared" si="20"/>
        <v>350</v>
      </c>
      <c r="D54" s="2">
        <f t="shared" si="20"/>
        <v>347.8</v>
      </c>
      <c r="E54" s="9">
        <f t="shared" si="20"/>
        <v>350</v>
      </c>
      <c r="F54" s="9">
        <f t="shared" si="20"/>
        <v>0</v>
      </c>
      <c r="G54" s="9">
        <f t="shared" si="20"/>
        <v>0</v>
      </c>
      <c r="H54" s="38">
        <f t="shared" si="20"/>
        <v>0</v>
      </c>
      <c r="I54" s="38">
        <f t="shared" si="20"/>
        <v>0</v>
      </c>
      <c r="J54" s="9"/>
      <c r="K54" s="9">
        <f>SUM(K52:K53)</f>
        <v>350</v>
      </c>
      <c r="L54" s="117"/>
      <c r="M54" s="89">
        <f>SUM(M52:M53)</f>
        <v>338833.45</v>
      </c>
      <c r="N54" s="73">
        <f>M54/(K54*1000)</f>
        <v>0.9680955714285715</v>
      </c>
      <c r="O54" s="118">
        <f>2/2*38597.05-M54</f>
        <v>-300236.4</v>
      </c>
      <c r="P54" s="112">
        <f>K54-3/3*350*0+K117-9/9*412+(M54+M117-3/3*149112.89*0-4/4*210488.05*0-5/5*268127.47*0-6/6*313035.89*0-7/7*320728.05*0-8/8*329454.47*0-9/9*348868.89*0-10/10*373210.31*0-11/11*395736.45*0-12/12*400833.45)</f>
        <v>0</v>
      </c>
      <c r="Q54" s="2">
        <f aca="true" t="shared" si="21" ref="Q54:Y54">SUM(Q52:Q53)</f>
        <v>0</v>
      </c>
      <c r="R54" s="2">
        <f t="shared" si="21"/>
        <v>0</v>
      </c>
      <c r="S54" s="9">
        <f t="shared" si="21"/>
        <v>0</v>
      </c>
      <c r="T54" s="9">
        <f t="shared" si="21"/>
        <v>0</v>
      </c>
      <c r="U54" s="9">
        <f t="shared" si="21"/>
        <v>0</v>
      </c>
      <c r="V54" s="9">
        <f t="shared" si="21"/>
        <v>0</v>
      </c>
      <c r="W54" s="38">
        <f t="shared" si="21"/>
        <v>0</v>
      </c>
      <c r="X54" s="38">
        <f t="shared" si="21"/>
        <v>0</v>
      </c>
      <c r="Y54" s="38">
        <f t="shared" si="21"/>
        <v>0</v>
      </c>
      <c r="Z54" s="38">
        <f>SUM(Z52:Z53)</f>
        <v>0</v>
      </c>
      <c r="AA54" s="117"/>
      <c r="AB54" s="89">
        <f>SUM(AB52:AB53)</f>
        <v>0</v>
      </c>
      <c r="AC54" s="73"/>
      <c r="AD54" s="114"/>
      <c r="AE54" s="112">
        <f>Z54-3/3*0+Z117-9/9*62+(AB54-3/3*0+AB117-9/9*62000)</f>
        <v>0</v>
      </c>
    </row>
    <row r="55" spans="1:29" s="21" customFormat="1" ht="12.75">
      <c r="A55" s="1" t="s">
        <v>19</v>
      </c>
      <c r="B55" s="17">
        <v>1000</v>
      </c>
      <c r="C55" s="17">
        <v>1000</v>
      </c>
      <c r="D55" s="17">
        <f>1000+864.6*0</f>
        <v>1000</v>
      </c>
      <c r="E55" s="10"/>
      <c r="F55" s="10"/>
      <c r="G55" s="10"/>
      <c r="H55" s="11"/>
      <c r="I55" s="11"/>
      <c r="J55" s="10"/>
      <c r="K55" s="10"/>
      <c r="L55" s="7"/>
      <c r="M55" s="14"/>
      <c r="N55" s="72"/>
      <c r="O55" s="33"/>
      <c r="P55" s="7"/>
      <c r="Q55" s="17">
        <v>1000</v>
      </c>
      <c r="R55" s="17">
        <v>1000</v>
      </c>
      <c r="S55" s="10">
        <v>1000</v>
      </c>
      <c r="T55" s="10"/>
      <c r="U55" s="10"/>
      <c r="V55" s="10"/>
      <c r="W55" s="18">
        <f>427*0*5/5</f>
        <v>0</v>
      </c>
      <c r="X55" s="40">
        <f>427*(0+12/12)</f>
        <v>427</v>
      </c>
      <c r="Y55" s="40"/>
      <c r="Z55" s="40">
        <f>SUM(T55:Y55)</f>
        <v>427</v>
      </c>
      <c r="AA55" s="7"/>
      <c r="AB55" s="56">
        <f>2/2*107/107*179.61+3/3*426965.48</f>
        <v>427145.08999999997</v>
      </c>
      <c r="AC55" s="72">
        <f>AB55/((Z55+427)*1000)</f>
        <v>0.5001698946135831</v>
      </c>
    </row>
    <row r="56" spans="1:29" s="21" customFormat="1" ht="12.75">
      <c r="A56" s="1" t="s">
        <v>20</v>
      </c>
      <c r="B56" s="17"/>
      <c r="C56" s="135">
        <f>641+(2658*0+1139+1519)*0+1139+1519</f>
        <v>3299</v>
      </c>
      <c r="D56" s="139">
        <f>640.9</f>
        <v>640.9</v>
      </c>
      <c r="E56" s="18">
        <f>1000+8000</f>
        <v>9000</v>
      </c>
      <c r="F56" s="18"/>
      <c r="G56" s="18"/>
      <c r="H56" s="40">
        <f>(-905.8-427-3113/3113*420-3412/3412*1117-1305/1305*211+3080.8*0)*0+9/9*3113/3113*(-495-470)</f>
        <v>-965</v>
      </c>
      <c r="I56" s="40"/>
      <c r="J56" s="18"/>
      <c r="K56" s="13">
        <f>SUM(E56:J56)</f>
        <v>8035</v>
      </c>
      <c r="L56" s="19" t="s">
        <v>35</v>
      </c>
      <c r="M56" s="57">
        <f>174274*0+3/3*(2297248.6*0+(4/4*(2282309+5/5*340408.3)*0+7/7*2282309*0+8/8*4836402.3*0+9/9*(5823124.6*0+10/10*6460475.9*0+11/11*4793796.24*0+12/12*4808020.24+3632/3632*8000)+6/6*(2*340408.3*0*7/7+9318*0)+36121/36121*92640)+1517/1517*(83372.92*0*4/4+5/5*41348.46*0+6/6*2*41348.46*0*7/7+8/8*41348.46*0+9/9*82696.92*0+10/10*124045.38*0+11/11*218610.08*0+12/12*222066.08))</f>
        <v>5130726.32</v>
      </c>
      <c r="N56" s="72">
        <f aca="true" t="shared" si="22" ref="N56:N75">M56/(K56*1000)</f>
        <v>0.6385471462352209</v>
      </c>
      <c r="O56" s="33"/>
      <c r="P56" s="19"/>
      <c r="Q56" s="127"/>
      <c r="R56" s="127"/>
      <c r="S56" s="128"/>
      <c r="T56" s="18">
        <f>2008/2008*(14000*3/4*110%-11550*0-550)</f>
        <v>11000.000000000002</v>
      </c>
      <c r="U56" s="18"/>
      <c r="V56" s="18"/>
      <c r="W56" s="18">
        <f>-6000*0*5/5</f>
        <v>0</v>
      </c>
      <c r="X56" s="40">
        <v>-1829.9</v>
      </c>
      <c r="Y56" s="40"/>
      <c r="Z56" s="40">
        <f>SUM(T56:Y56)</f>
        <v>9170.100000000002</v>
      </c>
      <c r="AA56" s="57" t="s">
        <v>71</v>
      </c>
      <c r="AB56" s="56"/>
      <c r="AC56" s="72">
        <f>AB56/(Z56*1000)</f>
        <v>0</v>
      </c>
    </row>
    <row r="57" spans="1:28" ht="12.75">
      <c r="A57" s="1" t="s">
        <v>21</v>
      </c>
      <c r="B57" s="17">
        <v>6000</v>
      </c>
      <c r="C57" s="17">
        <f>6000+10</f>
        <v>6010</v>
      </c>
      <c r="D57" s="17">
        <f>6000+9.5</f>
        <v>6009.5</v>
      </c>
      <c r="E57" s="18">
        <f>6000*1.05</f>
        <v>6300</v>
      </c>
      <c r="F57" s="18"/>
      <c r="G57" s="18"/>
      <c r="H57" s="18"/>
      <c r="I57" s="40"/>
      <c r="J57" s="18"/>
      <c r="K57" s="13">
        <f>SUM(E57:J57)</f>
        <v>6300</v>
      </c>
      <c r="L57" s="19" t="s">
        <v>36</v>
      </c>
      <c r="M57" s="57">
        <f>3/3*1000000+6/6*1000000+8/8*1000000+9/9*1000000+11/11*500000+12/12*1800000+3632/3632*0*8000*3612/3612</f>
        <v>6300000</v>
      </c>
      <c r="N57" s="72">
        <f t="shared" si="22"/>
        <v>1</v>
      </c>
      <c r="P57" s="19"/>
      <c r="Q57" s="127"/>
      <c r="R57" s="127"/>
      <c r="S57" s="128"/>
      <c r="T57" s="128"/>
      <c r="U57" s="18"/>
      <c r="V57" s="18"/>
      <c r="W57" s="18"/>
      <c r="X57" s="18"/>
      <c r="Y57" s="18"/>
      <c r="Z57" s="40">
        <f>SUM(T57:Y57)</f>
        <v>0</v>
      </c>
      <c r="AA57" s="7"/>
      <c r="AB57" s="56"/>
    </row>
    <row r="58" spans="1:31" ht="12.75">
      <c r="A58" s="47" t="s">
        <v>153</v>
      </c>
      <c r="B58" s="2">
        <f aca="true" t="shared" si="23" ref="B58:I58">SUM(B55:B57)</f>
        <v>7000</v>
      </c>
      <c r="C58" s="2">
        <f t="shared" si="23"/>
        <v>10309</v>
      </c>
      <c r="D58" s="2">
        <f t="shared" si="23"/>
        <v>7650.4</v>
      </c>
      <c r="E58" s="9">
        <f t="shared" si="23"/>
        <v>15300</v>
      </c>
      <c r="F58" s="9">
        <f t="shared" si="23"/>
        <v>0</v>
      </c>
      <c r="G58" s="9">
        <f t="shared" si="23"/>
        <v>0</v>
      </c>
      <c r="H58" s="38">
        <f t="shared" si="23"/>
        <v>-965</v>
      </c>
      <c r="I58" s="38">
        <f t="shared" si="23"/>
        <v>0</v>
      </c>
      <c r="J58" s="9"/>
      <c r="K58" s="9">
        <f>SUM(K55:K57)</f>
        <v>14335</v>
      </c>
      <c r="L58" s="117"/>
      <c r="M58" s="89">
        <f>SUM(M55:M57)</f>
        <v>11430726.32</v>
      </c>
      <c r="N58" s="73">
        <f>M58/(K58*1000)</f>
        <v>0.7973998130449947</v>
      </c>
      <c r="O58" s="118">
        <f>2/2*174274-M58</f>
        <v>-11256452.32</v>
      </c>
      <c r="P58" s="119">
        <f>K58-3/3*15300*0-9/9*14335+(M58-3/3*3380621.52*0-4/4*3374949*0-5/5*3756705.76*0-6/6*5138462.52*0-7/7*4374949*0-8/8*7970390.76*0-9/9*10006461.52*0-10/10*10685161.28*0-11/11*9613046.32*0-12/12*11430726.32)</f>
        <v>0</v>
      </c>
      <c r="Q58" s="2">
        <f aca="true" t="shared" si="24" ref="Q58:Y58">SUM(Q55:Q57)</f>
        <v>1000</v>
      </c>
      <c r="R58" s="2">
        <f t="shared" si="24"/>
        <v>1000</v>
      </c>
      <c r="S58" s="9">
        <f t="shared" si="24"/>
        <v>1000</v>
      </c>
      <c r="T58" s="9">
        <f t="shared" si="24"/>
        <v>11000.000000000002</v>
      </c>
      <c r="U58" s="9">
        <f t="shared" si="24"/>
        <v>0</v>
      </c>
      <c r="V58" s="9">
        <f t="shared" si="24"/>
        <v>0</v>
      </c>
      <c r="W58" s="38">
        <f t="shared" si="24"/>
        <v>0</v>
      </c>
      <c r="X58" s="38">
        <f t="shared" si="24"/>
        <v>-1402.9</v>
      </c>
      <c r="Y58" s="38">
        <f t="shared" si="24"/>
        <v>0</v>
      </c>
      <c r="Z58" s="38">
        <f>SUM(Z55:Z57)</f>
        <v>9597.100000000002</v>
      </c>
      <c r="AA58" s="117"/>
      <c r="AB58" s="96">
        <f>SUM(AB55:AB57)</f>
        <v>427145.08999999997</v>
      </c>
      <c r="AC58" s="73">
        <f>AB58/(Z58*1000)</f>
        <v>0.04450772525033603</v>
      </c>
      <c r="AD58" s="118">
        <f>2/2*179.61-AB58</f>
        <v>-426965.48</v>
      </c>
      <c r="AE58" s="119">
        <f>Z58-3/3*11000*0-12/12*9597.1+(AB58-3/3*427145.09)</f>
        <v>-5.638867150992155E-11</v>
      </c>
    </row>
    <row r="59" spans="1:31" ht="22.5">
      <c r="A59" s="149" t="s">
        <v>22</v>
      </c>
      <c r="B59" s="133">
        <v>2232</v>
      </c>
      <c r="C59" s="133">
        <v>2282</v>
      </c>
      <c r="D59" s="133">
        <f>2067.6*0+2160.8+44</f>
        <v>2204.8</v>
      </c>
      <c r="E59" s="18">
        <f>((174.28*12+48.64)+130-2270)+2232-2102+(2091+55)</f>
        <v>2276</v>
      </c>
      <c r="F59" s="18"/>
      <c r="G59" s="18"/>
      <c r="H59" s="18"/>
      <c r="I59" s="18">
        <v>137</v>
      </c>
      <c r="J59" s="18"/>
      <c r="K59" s="40">
        <f>SUM(E59:J59)</f>
        <v>2413</v>
      </c>
      <c r="L59" s="27" t="s">
        <v>38</v>
      </c>
      <c r="M59" s="97">
        <f>1587*0+2/2*178257*0+3/3*389589*0+4/4*550600*0+5/5*733284*0+6/6*875043*0+7/7*1041759*0+8/8*1218113*0+9/9*1399101*0+10/10*1595499*0+11/11*1749842*0+12/12*2536446</f>
        <v>2536446</v>
      </c>
      <c r="N59" s="72">
        <f t="shared" si="22"/>
        <v>1.051158723580605</v>
      </c>
      <c r="O59" s="33">
        <f>O60-O61</f>
        <v>-2117428.5</v>
      </c>
      <c r="P59" s="84" t="s">
        <v>95</v>
      </c>
      <c r="Q59" s="127">
        <v>300</v>
      </c>
      <c r="R59" s="127">
        <v>300</v>
      </c>
      <c r="S59" s="128">
        <v>98.7</v>
      </c>
      <c r="T59" s="128">
        <v>0</v>
      </c>
      <c r="U59" s="18"/>
      <c r="V59" s="18"/>
      <c r="W59" s="18"/>
      <c r="X59" s="18">
        <f>12/12*(10/10)*140</f>
        <v>140</v>
      </c>
      <c r="Y59" s="18"/>
      <c r="Z59" s="40">
        <f>SUM(T59:Y59)</f>
        <v>140</v>
      </c>
      <c r="AA59" s="7"/>
      <c r="AB59" s="56">
        <f>3/3*15065.16+6/6*32316.21+9/9*57551.39+12/12*18362.41+(10/10)*(52.06*0+6/6*104.59*0+9/9*157.59*0+12/12*198.55)</f>
        <v>123493.72</v>
      </c>
      <c r="AE59" s="28">
        <f>47381.37*0+11/11*104932.76+10/10*104.59*0+11/11*157.59-AB59</f>
        <v>-18403.37000000001</v>
      </c>
    </row>
    <row r="60" spans="1:31" s="114" customFormat="1" ht="12.75">
      <c r="A60" s="149" t="s">
        <v>23</v>
      </c>
      <c r="B60" s="133">
        <f>40136+0+0+16/16*408</f>
        <v>40544</v>
      </c>
      <c r="C60" s="155">
        <f>42224.3+0+0+408-1519/2*2+551-112/112*1139</f>
        <v>40525.3</v>
      </c>
      <c r="D60" s="156">
        <f>10754.9+7396.1+18378.9+16/16*299.4+585.5+383+627.2+1352.1</f>
        <v>39777.1</v>
      </c>
      <c r="E60" s="137">
        <f>18500+9756+20069+16/16*400-E61-E62-E63-E64-9/9*E73*2/2</f>
        <v>17428</v>
      </c>
      <c r="F60" s="137"/>
      <c r="G60" s="137"/>
      <c r="H60" s="137">
        <f>7/7*99/99*(150+93+6114/6114*32)+212*0+2209/2209*87-379.5</f>
        <v>-17.5</v>
      </c>
      <c r="I60" s="18">
        <f>(-80-86+46-100-580-406+406)+27+1/1*42+5410/5410*-160</f>
        <v>-891</v>
      </c>
      <c r="J60" s="40"/>
      <c r="K60" s="40">
        <f aca="true" t="shared" si="25" ref="K60:K77">SUM(E60:J60)</f>
        <v>16519.5</v>
      </c>
      <c r="L60" s="8" t="s">
        <v>37</v>
      </c>
      <c r="M60" s="14">
        <f>8/8*22408988.63*0+9/9*25656751.12*0+10/10*29375402.77*0+11/11*32088167.64*0+12/12*37702464.85-(81/81*(32646*0+9/9*47926*0+11/11*53096*0+12/12*71786)-98005/98005*12/12*20713+98216/98216*(920*0+4/4*1840*0+5/5*2760*0+6/6*671039*0+9/9*1112470*0+11/11*1115110*0+12/12*2059547.41)+98116/98116*226100)+(1/1)*(2/2*116486*0+3/3*236015*0+5/5*235301*0+7/7*377117*0+10/10*481727*0+12/12*486107)+(3/3)*(2/2*59478*0+3/3*204427*0+4/4*321556*0+5/5*434231*0+6/6*507367*0+7/7*630910*0+8/8*752588*0+9/9*871022*0+10/10*1007212*0+11/11*1112424*0+12/12*929503)+107/107*(2/2*500*0*3/3+11/11*86165.6*0+12/12*9968)+5410/5410*15912*0+11109/11109*6945*0+1517/1517*3456*0+(231220/231220*(3/3*1319*0+4/4*484700*0+5/5*528519+6/6*7000+7/7*(-10000-2000)+12/12*(-1687*0+(5313-7000)))+2372/2372*(315000+189000+135000+135000+154440+267178.5+11/11*300000))+(10/10)*6310/6310*5163/5163*(159.5*0+6/6*319*0+9/9*478.5*0+12/12*638)-M61-M62-M63-M64+3111/3111*1368/1368*56100*0*8/8+6114/6114*(6055.26*0+12/12*9455.26)+6115/6115*(117+448)*0+12/12*58552</f>
        <v>12787778.609999998</v>
      </c>
      <c r="N60" s="72">
        <f t="shared" si="22"/>
        <v>0.7741020375919366</v>
      </c>
      <c r="O60" s="33">
        <f>6171/6171*37702464.85+(241455.26-232000)-98005/98005*20713-81/81*71786+1/1*486107+3/3*929503+107/107*9968+10/10*638+P65+P66</f>
        <v>39045637.11</v>
      </c>
      <c r="P60" s="19"/>
      <c r="Q60" s="127"/>
      <c r="R60" s="127"/>
      <c r="S60" s="128"/>
      <c r="T60" s="128"/>
      <c r="U60" s="128"/>
      <c r="V60" s="128"/>
      <c r="W60" s="128"/>
      <c r="X60" s="128"/>
      <c r="Y60" s="128"/>
      <c r="Z60" s="128"/>
      <c r="AA60" s="6"/>
      <c r="AB60" s="28"/>
      <c r="AC60" s="77"/>
      <c r="AD60" s="140">
        <f>AB62+AB24+AB21-2/2*3264000</f>
        <v>16314000.004705131</v>
      </c>
      <c r="AE60" s="54"/>
    </row>
    <row r="61" spans="1:31" ht="12.75">
      <c r="A61" s="149" t="s">
        <v>79</v>
      </c>
      <c r="B61" s="133"/>
      <c r="C61" s="155"/>
      <c r="D61" s="156"/>
      <c r="E61" s="137">
        <f>(7409+593)*(1+0.09+0.25)+45+0.82+0.5+33</f>
        <v>10802</v>
      </c>
      <c r="F61" s="137"/>
      <c r="G61" s="137"/>
      <c r="H61" s="137"/>
      <c r="I61" s="18">
        <f>-2140+140-I62-I63-I64</f>
        <v>-2000</v>
      </c>
      <c r="J61" s="40"/>
      <c r="K61" s="40">
        <f t="shared" si="25"/>
        <v>8802</v>
      </c>
      <c r="L61" s="8"/>
      <c r="M61" s="14">
        <f>1/1*870533+2/2*999830+3/3*1106077+4/4*(1063998*0+902637)+5/5*889066+6/6*1167820-9021/9021*(123/123*((354873+31736+88110)*0+(321488+28731+79766))+456/456*(324190+28976+80438))+7/7*963865+8/8*967886+9/9*1206378+10/10*1012718-(317350+28359+78726)+(11/11*1005529+12/12*1006583)-9021/9021*(313865+28044+77858+(102874+9276+25711))</f>
        <v>10253270</v>
      </c>
      <c r="N61" s="72">
        <f t="shared" si="22"/>
        <v>1.1648795728243582</v>
      </c>
      <c r="O61" s="33">
        <f>SUM(M60:M64,M99,M100,-P97)</f>
        <v>41163065.61</v>
      </c>
      <c r="P61" s="19"/>
      <c r="Q61" s="127"/>
      <c r="R61" s="127"/>
      <c r="S61" s="128"/>
      <c r="T61" s="18"/>
      <c r="U61" s="13"/>
      <c r="V61" s="13"/>
      <c r="W61" s="13"/>
      <c r="X61" s="13"/>
      <c r="Y61" s="13"/>
      <c r="Z61" s="13"/>
      <c r="AA61" s="141"/>
      <c r="AC61" s="72"/>
      <c r="AD61" s="21"/>
      <c r="AE61" s="32">
        <f>AB62-Z62*1000</f>
        <v>0</v>
      </c>
    </row>
    <row r="62" spans="1:31" ht="24.75" customHeight="1">
      <c r="A62" s="149" t="s">
        <v>80</v>
      </c>
      <c r="B62" s="133"/>
      <c r="C62" s="155"/>
      <c r="D62" s="156"/>
      <c r="E62" s="137">
        <f>(12342+988)*(1+0.09+0.25)+0.3+0.5</f>
        <v>17863</v>
      </c>
      <c r="F62" s="137"/>
      <c r="G62" s="137"/>
      <c r="H62" s="137"/>
      <c r="I62" s="18"/>
      <c r="J62" s="40"/>
      <c r="K62" s="40">
        <f t="shared" si="25"/>
        <v>17863</v>
      </c>
      <c r="L62" s="8"/>
      <c r="M62" s="14">
        <f>1/1*1592825+2/2*1577376+3/3*(1537789*0+1755489)+4/4*(1642780*0+1521903)+5/5*(1320038*0+1516175*0+1519471)+6/6*(1802888*0+1804418-9021/9021*(123/123*(474719*0+429985)+456/456*433604))+7/7*(7/7)*1513914+(8/8)*(1527600*0+1527599)+9/9*1801074+10/10*1468444+(11/11*1452073+12/12*1451020)-M63-M64-(M99-(P97+P98))-M100</f>
        <v>15645856</v>
      </c>
      <c r="N62" s="72">
        <f t="shared" si="22"/>
        <v>0.8758806471477355</v>
      </c>
      <c r="O62" s="33">
        <f>13602312-M62</f>
        <v>-2043544</v>
      </c>
      <c r="P62" s="83" t="s">
        <v>94</v>
      </c>
      <c r="Q62" s="17">
        <v>9881</v>
      </c>
      <c r="R62" s="17">
        <v>8708</v>
      </c>
      <c r="S62" s="10">
        <v>8708</v>
      </c>
      <c r="T62" s="18">
        <f>((16/16*8408*3024/100-257.92)+((22683*551.69709758-145.26)+36.145*157974.906662-3.001))/1000</f>
        <v>18478.000004705133</v>
      </c>
      <c r="U62" s="13"/>
      <c r="V62" s="13"/>
      <c r="W62" s="13"/>
      <c r="X62" s="13"/>
      <c r="Y62" s="13"/>
      <c r="Z62" s="13">
        <f>SUM(T62:Y62)</f>
        <v>18478.000004705133</v>
      </c>
      <c r="AA62" s="141" t="s">
        <v>70</v>
      </c>
      <c r="AB62" s="126">
        <f>T62*1000*12/12+166.6662746*11*0</f>
        <v>18478000.00470513</v>
      </c>
      <c r="AC62" s="72">
        <f>AB62/(Z62*1000)</f>
        <v>1</v>
      </c>
      <c r="AD62" s="21"/>
      <c r="AE62" s="142">
        <f>AB62+AB21+AB24-5/5*8160000*0-6/6*9792000*0-8/8*13056000*0-9/9*14688000*0-10/10*17952000*0-12/12*19578000</f>
        <v>0.0047051310539245605</v>
      </c>
    </row>
    <row r="63" spans="1:29" s="21" customFormat="1" ht="12.75">
      <c r="A63" s="149" t="s">
        <v>81</v>
      </c>
      <c r="B63" s="133"/>
      <c r="C63" s="155"/>
      <c r="D63" s="156"/>
      <c r="E63" s="137">
        <f>(1199+96)*(1+0.09+0.25)+0.45+0.25</f>
        <v>1736.0000000000002</v>
      </c>
      <c r="F63" s="137">
        <f>-F99+2*369.9*5/5+7/7*427.8+10/10*427.8</f>
        <v>0</v>
      </c>
      <c r="G63" s="137"/>
      <c r="H63" s="137"/>
      <c r="I63" s="18"/>
      <c r="J63" s="40"/>
      <c r="K63" s="40">
        <f t="shared" si="25"/>
        <v>1736.0000000000002</v>
      </c>
      <c r="L63" s="8"/>
      <c r="M63" s="14">
        <f>1/1*124116+2/2*135872+3/3*147557+4/4*(138614*0+128071)+5/5*132763-100+6/6*156504+7/7*(154955*0+129872)+8/8*154955+9/9*152565+10/10*123342+(11/11*128291+12/12*157641)-(M99+(-3/3*920-4/4*920-5/5*920-11/11*2640)*0-12/12*(P97+P98)-100)</f>
        <v>-387998.41000000015</v>
      </c>
      <c r="N63" s="72">
        <f t="shared" si="22"/>
        <v>-0.223501388248848</v>
      </c>
      <c r="O63" s="33">
        <f>1671549-(M63+(M99-P98-P97))</f>
        <v>0</v>
      </c>
      <c r="P63" s="19"/>
      <c r="Q63" s="127"/>
      <c r="R63" s="127"/>
      <c r="S63" s="128"/>
      <c r="T63" s="18"/>
      <c r="U63" s="13"/>
      <c r="V63" s="13"/>
      <c r="W63" s="13"/>
      <c r="X63" s="13"/>
      <c r="Y63" s="13"/>
      <c r="Z63" s="13"/>
      <c r="AA63" s="141"/>
      <c r="AB63" s="28"/>
      <c r="AC63" s="72"/>
    </row>
    <row r="64" spans="1:29" s="21" customFormat="1" ht="12.75">
      <c r="A64" s="149" t="s">
        <v>82</v>
      </c>
      <c r="B64" s="133"/>
      <c r="C64" s="155"/>
      <c r="D64" s="156"/>
      <c r="E64" s="137">
        <f>(568+46)*(1+0.09+0.25)+0.74+0.5</f>
        <v>824.0000000000001</v>
      </c>
      <c r="F64" s="137">
        <f>-F100+226.1</f>
        <v>0</v>
      </c>
      <c r="G64" s="137"/>
      <c r="H64" s="137"/>
      <c r="I64" s="18"/>
      <c r="J64" s="40"/>
      <c r="K64" s="40">
        <f t="shared" si="25"/>
        <v>824.0000000000001</v>
      </c>
      <c r="L64" s="8"/>
      <c r="M64" s="14">
        <f>1/1*63343+2/2*67014+3/3*70143+4/4*(69914*0+64238)+5/5*63374+6/6*71484+7/7*(63530*0+64439)+8/8*63530+9/9*75078+10/10*63533+(11/11*63553+12/12*74883)-M100</f>
        <v>578512</v>
      </c>
      <c r="N64" s="72">
        <f t="shared" si="22"/>
        <v>0.7020776699029125</v>
      </c>
      <c r="O64" s="33">
        <f>804612-(M64+M100)</f>
        <v>0</v>
      </c>
      <c r="P64" s="19"/>
      <c r="Q64" s="127"/>
      <c r="R64" s="127"/>
      <c r="S64" s="128"/>
      <c r="T64" s="18"/>
      <c r="U64" s="13"/>
      <c r="V64" s="13"/>
      <c r="W64" s="13"/>
      <c r="X64" s="13"/>
      <c r="Y64" s="13"/>
      <c r="Z64" s="13"/>
      <c r="AA64" s="141"/>
      <c r="AB64" s="28"/>
      <c r="AC64" s="72"/>
    </row>
    <row r="65" spans="1:29" s="21" customFormat="1" ht="12.75">
      <c r="A65" s="149" t="s">
        <v>85</v>
      </c>
      <c r="B65" s="133"/>
      <c r="C65" s="155"/>
      <c r="D65" s="156"/>
      <c r="E65" s="137"/>
      <c r="F65" s="137"/>
      <c r="G65" s="137"/>
      <c r="H65" s="137"/>
      <c r="I65" s="18">
        <v>7</v>
      </c>
      <c r="J65" s="40"/>
      <c r="K65" s="40">
        <f t="shared" si="25"/>
        <v>7</v>
      </c>
      <c r="L65" s="8"/>
      <c r="M65" s="14">
        <f>2/2*6945</f>
        <v>6945</v>
      </c>
      <c r="N65" s="72">
        <f t="shared" si="22"/>
        <v>0.9921428571428571</v>
      </c>
      <c r="O65" s="33" t="s">
        <v>172</v>
      </c>
      <c r="P65" s="19"/>
      <c r="Q65" s="127"/>
      <c r="R65" s="127"/>
      <c r="S65" s="128"/>
      <c r="T65" s="18"/>
      <c r="U65" s="13"/>
      <c r="V65" s="13"/>
      <c r="W65" s="13"/>
      <c r="X65" s="13"/>
      <c r="Y65" s="13"/>
      <c r="Z65" s="13"/>
      <c r="AA65" s="141"/>
      <c r="AB65" s="28"/>
      <c r="AC65" s="72"/>
    </row>
    <row r="66" spans="1:29" s="21" customFormat="1" ht="23.25">
      <c r="A66" s="149" t="s">
        <v>186</v>
      </c>
      <c r="B66" s="133"/>
      <c r="C66" s="155"/>
      <c r="D66" s="156"/>
      <c r="E66" s="137"/>
      <c r="F66" s="137"/>
      <c r="G66" s="137"/>
      <c r="H66" s="137"/>
      <c r="I66" s="18">
        <v>30</v>
      </c>
      <c r="J66" s="40"/>
      <c r="K66" s="40">
        <f>SUM(E66:J66)</f>
        <v>30</v>
      </c>
      <c r="L66" s="8"/>
      <c r="M66" s="14">
        <f>8/8*30000</f>
        <v>30000</v>
      </c>
      <c r="N66" s="72">
        <f t="shared" si="22"/>
        <v>1</v>
      </c>
      <c r="O66" s="33" t="s">
        <v>173</v>
      </c>
      <c r="P66" s="19"/>
      <c r="Q66" s="127"/>
      <c r="R66" s="127"/>
      <c r="S66" s="128"/>
      <c r="T66" s="18"/>
      <c r="U66" s="13"/>
      <c r="V66" s="13"/>
      <c r="W66" s="13"/>
      <c r="X66" s="13"/>
      <c r="Y66" s="13"/>
      <c r="Z66" s="13"/>
      <c r="AA66" s="141"/>
      <c r="AB66" s="28"/>
      <c r="AC66" s="72"/>
    </row>
    <row r="67" spans="1:28" ht="12.75">
      <c r="A67" s="71" t="s">
        <v>97</v>
      </c>
      <c r="B67" s="133">
        <f>500+440+215+25</f>
        <v>1180</v>
      </c>
      <c r="C67" s="133">
        <f>500+(440+11/11*125)+215+25</f>
        <v>1305</v>
      </c>
      <c r="D67" s="133">
        <f>373+565+145.5+16</f>
        <v>1099.5</v>
      </c>
      <c r="E67" s="11">
        <f>380+530*0+150*0</f>
        <v>380</v>
      </c>
      <c r="F67" s="11"/>
      <c r="G67" s="11"/>
      <c r="H67" s="11">
        <f>200*0*5/5</f>
        <v>0</v>
      </c>
      <c r="I67" s="18">
        <f>32+169-74+33-20</f>
        <v>140</v>
      </c>
      <c r="J67" s="40"/>
      <c r="K67" s="40">
        <f t="shared" si="25"/>
        <v>520</v>
      </c>
      <c r="L67" s="8" t="s">
        <v>66</v>
      </c>
      <c r="M67" s="14">
        <f>46940*0+2/2*171123*0+3/3*225652.88*0+4/4*298558.82*0+5/5*296389.56*0+6/6*324693.5*0+7/7*390116.04*0+8/8*426380.59*0+9/9*466864.53*0+10/10*547023.08*0+11/11*484363.4*0+12/12*589298.1</f>
        <v>589298.1</v>
      </c>
      <c r="N67" s="72">
        <f t="shared" si="22"/>
        <v>1.1332655769230768</v>
      </c>
      <c r="P67" s="45" t="s">
        <v>96</v>
      </c>
      <c r="S67" s="10">
        <v>251.8</v>
      </c>
      <c r="Z67" s="10">
        <f aca="true" t="shared" si="26" ref="Z67:Z78">SUM(T67:Y67)</f>
        <v>0</v>
      </c>
      <c r="AB67" s="28">
        <f>22500+2/2*33000+3/3*25500+4/4*24500+5/5*21000+6/6*23750+7/7*22250+8/8*22250+9/9*(23750+17500)+10/10*25250+11/11*25250+12/12*22250</f>
        <v>308750</v>
      </c>
    </row>
    <row r="68" spans="1:28" ht="24.75" customHeight="1">
      <c r="A68" s="71" t="s">
        <v>187</v>
      </c>
      <c r="B68" s="133"/>
      <c r="C68" s="133"/>
      <c r="D68" s="133"/>
      <c r="E68" s="11">
        <f>380*0+530+150*0</f>
        <v>530</v>
      </c>
      <c r="F68" s="11"/>
      <c r="G68" s="11"/>
      <c r="I68" s="18">
        <f>80+87+29</f>
        <v>196</v>
      </c>
      <c r="J68" s="40"/>
      <c r="K68" s="40">
        <f t="shared" si="25"/>
        <v>726</v>
      </c>
      <c r="L68" s="8" t="s">
        <v>65</v>
      </c>
      <c r="M68" s="14">
        <f>64860*0+2/2*115501*0+3/3*150865.88*0+4/4*240367.82*0+5/5*282489.96*0+6/6*363652.2*0+7/7*373434.14*0+8/8*388772.01*0+9/9*452322.95*0+10/10*496930.83*0+11/11*481999.51*0+12/12*643695.84+2323/2323*(340*0+7/7*2040*0+12/12*14730)</f>
        <v>658425.84</v>
      </c>
      <c r="N68" s="72">
        <f t="shared" si="22"/>
        <v>0.9069226446280991</v>
      </c>
      <c r="O68" s="33">
        <f>643695.84+14730-M68</f>
        <v>0</v>
      </c>
      <c r="P68" s="14"/>
      <c r="V68" s="11"/>
      <c r="W68" s="11"/>
      <c r="X68" s="11"/>
      <c r="Y68" s="11"/>
      <c r="Z68" s="11">
        <f t="shared" si="26"/>
        <v>0</v>
      </c>
      <c r="AA68" s="7"/>
      <c r="AB68" s="56"/>
    </row>
    <row r="69" spans="1:28" ht="12.75">
      <c r="A69" s="71" t="s">
        <v>64</v>
      </c>
      <c r="B69" s="133"/>
      <c r="C69" s="133"/>
      <c r="D69" s="133"/>
      <c r="E69" s="11">
        <f>380*0+530*0+150</f>
        <v>150</v>
      </c>
      <c r="F69" s="11"/>
      <c r="G69" s="11"/>
      <c r="H69" s="11">
        <f>70*0*5/5</f>
        <v>0</v>
      </c>
      <c r="I69" s="18">
        <f>35-21+154-52-6</f>
        <v>110</v>
      </c>
      <c r="J69" s="40"/>
      <c r="K69" s="40">
        <f t="shared" si="25"/>
        <v>260</v>
      </c>
      <c r="L69" s="8" t="s">
        <v>67</v>
      </c>
      <c r="M69" s="14">
        <f>30234*0+2/2*53970*0+3/3*75569.02*0+4/4*111310.53*0+5/5*125697.84*0+6/6*137439.35*0+7/7*225432.86*0+8/8*235213.35*0+9/9*242418.86*0+10/10*285009.33*0+11/11*238612.97*0+12/12*274938.04-P97</f>
        <v>274938.04</v>
      </c>
      <c r="N69" s="72">
        <f t="shared" si="22"/>
        <v>1.057454</v>
      </c>
      <c r="O69" s="33">
        <f>274938.04-P97-M69</f>
        <v>0</v>
      </c>
      <c r="P69" s="14"/>
      <c r="V69" s="11"/>
      <c r="W69" s="11"/>
      <c r="X69" s="11"/>
      <c r="Y69" s="11"/>
      <c r="Z69" s="11">
        <f t="shared" si="26"/>
        <v>0</v>
      </c>
      <c r="AA69" s="7"/>
      <c r="AB69" s="56"/>
    </row>
    <row r="70" spans="1:29" s="21" customFormat="1" ht="12.75">
      <c r="A70" s="71" t="s">
        <v>83</v>
      </c>
      <c r="B70" s="133"/>
      <c r="C70" s="133"/>
      <c r="D70" s="133"/>
      <c r="E70" s="11">
        <f>181*0*6171/6171</f>
        <v>0</v>
      </c>
      <c r="F70" s="11"/>
      <c r="G70" s="11"/>
      <c r="H70" s="11"/>
      <c r="I70" s="18">
        <f>160</f>
        <v>160</v>
      </c>
      <c r="J70" s="40"/>
      <c r="K70" s="40">
        <f t="shared" si="25"/>
        <v>160</v>
      </c>
      <c r="L70" s="8"/>
      <c r="M70" s="14">
        <f>5410/5410*15912*0+2/2*30312*0+3/3*44712*0+4/4*59112*0+5/5*73512*0+6/6*87912*0+7/7*102312*0+8/8*116712*0+9/9*131112*0+10/10*145512*0+11/11*163152*0+12/12*180792</f>
        <v>180792</v>
      </c>
      <c r="N70" s="72">
        <f t="shared" si="22"/>
        <v>1.12995</v>
      </c>
      <c r="O70" s="33"/>
      <c r="P70" s="85" t="s">
        <v>100</v>
      </c>
      <c r="Q70" s="115"/>
      <c r="R70" s="115"/>
      <c r="S70" s="116"/>
      <c r="T70" s="116"/>
      <c r="U70" s="116"/>
      <c r="V70" s="121"/>
      <c r="W70" s="121">
        <f>300*0*5/5</f>
        <v>0</v>
      </c>
      <c r="X70" s="121">
        <f>350*0*9/9+12/12*430</f>
        <v>430</v>
      </c>
      <c r="Y70" s="121"/>
      <c r="Z70" s="121">
        <f t="shared" si="26"/>
        <v>430</v>
      </c>
      <c r="AA70" s="7"/>
      <c r="AB70" s="56">
        <f>3/3*58400+4/4*117800+5/5*12800+6/6*75300+7/7*50000+8/8*50000+9/9*8000+10/10*59500+11/11*74100+12/12*65100</f>
        <v>571000</v>
      </c>
      <c r="AC70" s="72">
        <f>AB70/((Z70+261*0)*1000)</f>
        <v>1.327906976744186</v>
      </c>
    </row>
    <row r="71" spans="1:28" ht="12.75">
      <c r="A71" s="149" t="s">
        <v>24</v>
      </c>
      <c r="B71" s="133"/>
      <c r="C71" s="155">
        <f>71+119+1708</f>
        <v>1898</v>
      </c>
      <c r="D71" s="156">
        <f>71.4+119+1708</f>
        <v>1898.4</v>
      </c>
      <c r="E71" s="137"/>
      <c r="F71" s="137"/>
      <c r="G71" s="137"/>
      <c r="H71" s="137"/>
      <c r="I71" s="18"/>
      <c r="J71" s="40"/>
      <c r="K71" s="40">
        <f t="shared" si="25"/>
        <v>0</v>
      </c>
      <c r="P71" s="46" t="s">
        <v>98</v>
      </c>
      <c r="Q71" s="17">
        <v>500</v>
      </c>
      <c r="R71" s="17">
        <v>500</v>
      </c>
      <c r="S71" s="10">
        <v>500</v>
      </c>
      <c r="T71" s="10">
        <v>0</v>
      </c>
      <c r="V71" s="11"/>
      <c r="W71" s="11"/>
      <c r="X71" s="11"/>
      <c r="Y71" s="11"/>
      <c r="Z71" s="11">
        <f t="shared" si="26"/>
        <v>0</v>
      </c>
      <c r="AA71" s="7"/>
      <c r="AB71" s="56">
        <f>18800*0+2/2*103500+4/4*-103500</f>
        <v>0</v>
      </c>
    </row>
    <row r="72" spans="1:29" s="21" customFormat="1" ht="12.75">
      <c r="A72" s="149" t="s">
        <v>25</v>
      </c>
      <c r="B72" s="133">
        <f>0+45+10+2+0+0</f>
        <v>57</v>
      </c>
      <c r="C72" s="155">
        <f>0+76+71+2+0+0+(36+52+139+213)</f>
        <v>589</v>
      </c>
      <c r="D72" s="156">
        <f>3+34+58+38.4+51.6+138.8+213.1</f>
        <v>536.9</v>
      </c>
      <c r="E72" s="137"/>
      <c r="F72" s="137"/>
      <c r="G72" s="137"/>
      <c r="H72" s="137">
        <f>(7/7*99/99*(150+93+6114/6114*32)+212*0+2209/2209*87-379.5+17.5*9/9)*0+9/9*(160610/160610*221*0+(10610/10610*62+40610/40610*22+50610/50610*125+190610/190610*12-221)*0+7/7*99/99*212+2209/2209*8.5)+9</f>
        <v>229.5</v>
      </c>
      <c r="I72" s="18">
        <f>(15+6+2+15+17)+(6+13+7+174)</f>
        <v>255</v>
      </c>
      <c r="J72" s="40"/>
      <c r="K72" s="40">
        <f t="shared" si="25"/>
        <v>484.5</v>
      </c>
      <c r="L72" s="7"/>
      <c r="M72" s="14">
        <f>5/5*(10610/10610*(11973*0+6112/6112*(11561*0+9/9*16561)+6/6*(6171/6171*49338*0+7/7*53187)+40610/40610*(1324*0+6/6*(6112/6112*(3124.9*0+3149*0+9/9*9419)+6171/6171*(18513*0+7/7*18643)))+506/506*6/6*(6112/6112*(4931*0+7/7*11931*0+9/9*18201*0+12/12*21706)+6171/6171*(117715*0+7/7*121519*0+12/12*127465))))+1505/1505*6112/6112*(6/6*1640*0+8/8*7640)+1906/1906*(6/6*6112/6112*(1227*0+7/7*3967)+6171/6171*(19086*0+7/7*20803))+9/9*91010/91010*(3319/3319*1709*0*12/12+6112/6112*13451+6171/6171*(10000*0+10/10*146312*0+11/11*161812*0+12/12*184568))+180910/180910*(10/10*9000*0+12/12*14646)</f>
        <v>492056</v>
      </c>
      <c r="N72" s="72">
        <f t="shared" si="22"/>
        <v>1.015595459236326</v>
      </c>
      <c r="O72" s="33">
        <f>69748+28062+149171+7640+24770+198019+14646</f>
        <v>492056</v>
      </c>
      <c r="P72" s="46" t="s">
        <v>99</v>
      </c>
      <c r="Q72" s="17"/>
      <c r="R72" s="17">
        <f>220+250+150</f>
        <v>620</v>
      </c>
      <c r="S72" s="10">
        <f>331.4+250+150</f>
        <v>731.4</v>
      </c>
      <c r="T72" s="10"/>
      <c r="U72" s="10"/>
      <c r="V72" s="11">
        <f>3/3*3*30+4/4*25+5/5*(10*2+50+39)-5/5*224+160610/160610*261</f>
        <v>261</v>
      </c>
      <c r="W72" s="11">
        <f>3/3*3*30+4/4*25+5/5*(10*2+50+39)-5/5*224+160610/160610*261*0*9/9</f>
        <v>0</v>
      </c>
      <c r="X72" s="11">
        <v>70</v>
      </c>
      <c r="Y72" s="11"/>
      <c r="Z72" s="11">
        <f t="shared" si="26"/>
        <v>331</v>
      </c>
      <c r="AA72" s="7"/>
      <c r="AB72" s="56">
        <f>3/3*(2+1)*30000+4/4*25000+5/5*126000+10/10*70000+12/12*53000</f>
        <v>364000</v>
      </c>
      <c r="AC72" s="72">
        <f>AB72/((Z72+261*0)*1000)</f>
        <v>1.0996978851963746</v>
      </c>
    </row>
    <row r="73" spans="1:29" s="21" customFormat="1" ht="12.75">
      <c r="A73" s="149" t="s">
        <v>62</v>
      </c>
      <c r="B73" s="133"/>
      <c r="C73" s="155"/>
      <c r="D73" s="156"/>
      <c r="E73" s="137">
        <f>72</f>
        <v>72</v>
      </c>
      <c r="F73" s="137"/>
      <c r="G73" s="137">
        <f>160610/160610*30</f>
        <v>30</v>
      </c>
      <c r="H73" s="137"/>
      <c r="I73" s="18"/>
      <c r="J73" s="40"/>
      <c r="K73" s="40">
        <f t="shared" si="25"/>
        <v>102</v>
      </c>
      <c r="L73" s="7"/>
      <c r="M73" s="14">
        <f>7170+4/4*7170+8/8*22088+10/10*10060</f>
        <v>46488</v>
      </c>
      <c r="N73" s="72">
        <f t="shared" si="22"/>
        <v>0.45576470588235296</v>
      </c>
      <c r="O73" s="33"/>
      <c r="P73" s="46" t="s">
        <v>188</v>
      </c>
      <c r="Q73" s="17"/>
      <c r="R73" s="17"/>
      <c r="S73" s="10"/>
      <c r="T73" s="10"/>
      <c r="U73" s="10"/>
      <c r="V73" s="11"/>
      <c r="W73" s="11">
        <f>5*0*5/5</f>
        <v>0</v>
      </c>
      <c r="X73" s="11">
        <v>69</v>
      </c>
      <c r="Y73" s="11"/>
      <c r="Z73" s="11">
        <f t="shared" si="26"/>
        <v>69</v>
      </c>
      <c r="AA73" s="7"/>
      <c r="AB73" s="56">
        <f>2/2*2322/2322*4995.77+7/7*2691+9/9*61296+11/11*10752+12/12*10822</f>
        <v>90556.77</v>
      </c>
      <c r="AC73" s="72">
        <f>AB73/((Z73+261*0)*1000)</f>
        <v>1.3124169565217392</v>
      </c>
    </row>
    <row r="74" spans="1:28" ht="12.75">
      <c r="A74" s="149" t="s">
        <v>63</v>
      </c>
      <c r="B74" s="133"/>
      <c r="C74" s="155"/>
      <c r="D74" s="156"/>
      <c r="E74" s="137">
        <f>400*0*6171/6171</f>
        <v>0</v>
      </c>
      <c r="F74" s="137"/>
      <c r="G74" s="137"/>
      <c r="H74" s="137">
        <f>50*12-600*5/5</f>
        <v>0</v>
      </c>
      <c r="I74" s="18">
        <f>610-189</f>
        <v>421</v>
      </c>
      <c r="J74" s="40"/>
      <c r="K74" s="40">
        <f t="shared" si="25"/>
        <v>421</v>
      </c>
      <c r="M74" s="14">
        <f>50222.72*0+2/2*102799.62*0+4/4*155877.74*0+5/5*210786.14*0+6/6*318857.21*0+7/7*328267.21*0+8/8*387751.31*0+10/10*509317.97*0+11/11*570553.76*0+12/12*625527.36</f>
        <v>625527.36</v>
      </c>
      <c r="N74" s="72">
        <f t="shared" si="22"/>
        <v>1.4858132066508314</v>
      </c>
      <c r="P74" s="14"/>
      <c r="V74" s="11"/>
      <c r="W74" s="11"/>
      <c r="X74" s="11"/>
      <c r="Y74" s="11"/>
      <c r="Z74" s="11">
        <f t="shared" si="26"/>
        <v>0</v>
      </c>
      <c r="AA74" s="7"/>
      <c r="AB74" s="56"/>
    </row>
    <row r="75" spans="1:28" ht="12.75">
      <c r="A75" s="149" t="s">
        <v>69</v>
      </c>
      <c r="B75" s="133"/>
      <c r="C75" s="155"/>
      <c r="D75" s="156"/>
      <c r="E75" s="137"/>
      <c r="F75" s="137"/>
      <c r="G75" s="137"/>
      <c r="H75" s="137">
        <f>57*0*5/5</f>
        <v>0</v>
      </c>
      <c r="I75" s="18">
        <f>14+45+18+53</f>
        <v>130</v>
      </c>
      <c r="J75" s="40"/>
      <c r="K75" s="40">
        <f t="shared" si="25"/>
        <v>130</v>
      </c>
      <c r="M75" s="14">
        <f>1/1*(57332*0+6112/6112*14304+6171/6171*(43028*0+5/5*62990))</f>
        <v>77294</v>
      </c>
      <c r="N75" s="72">
        <f t="shared" si="22"/>
        <v>0.5945692307692307</v>
      </c>
      <c r="P75" s="14"/>
      <c r="V75" s="11"/>
      <c r="W75" s="11"/>
      <c r="X75" s="11"/>
      <c r="Y75" s="11"/>
      <c r="Z75" s="11">
        <f t="shared" si="26"/>
        <v>0</v>
      </c>
      <c r="AA75" s="7"/>
      <c r="AB75" s="56">
        <f>9/9*91010/91010*60896+10/10*(20906-2200-19/19-27/27-9021/9021*79600)</f>
        <v>0</v>
      </c>
    </row>
    <row r="76" spans="1:28" ht="12.75">
      <c r="A76" s="149" t="s">
        <v>159</v>
      </c>
      <c r="B76" s="133"/>
      <c r="C76" s="155"/>
      <c r="D76" s="156"/>
      <c r="E76" s="137">
        <f>200*0*6171/6171</f>
        <v>0</v>
      </c>
      <c r="F76" s="137"/>
      <c r="G76" s="137"/>
      <c r="H76" s="137"/>
      <c r="I76" s="18"/>
      <c r="J76" s="40"/>
      <c r="K76" s="40">
        <f>SUM(E76:J76)</f>
        <v>0</v>
      </c>
      <c r="M76" s="14">
        <f>12/12*(6112/6112*10357+6171/6171*59010)</f>
        <v>69367</v>
      </c>
      <c r="V76" s="11"/>
      <c r="W76" s="11"/>
      <c r="X76" s="11"/>
      <c r="Y76" s="11"/>
      <c r="Z76" s="11"/>
      <c r="AA76" s="7"/>
      <c r="AB76" s="56"/>
    </row>
    <row r="77" spans="1:31" ht="34.5">
      <c r="A77" s="149" t="s">
        <v>189</v>
      </c>
      <c r="B77" s="133">
        <v>987</v>
      </c>
      <c r="C77" s="133">
        <v>987</v>
      </c>
      <c r="D77" s="133">
        <v>191.4</v>
      </c>
      <c r="E77" s="11">
        <v>100</v>
      </c>
      <c r="F77" s="11"/>
      <c r="G77" s="11"/>
      <c r="H77" s="18">
        <f>1305/1305*(211+1)*9/9</f>
        <v>212</v>
      </c>
      <c r="I77" s="18">
        <f>1305/1305*211*0*9/9+12/12*(1379/1379*(10+16+3)+(1+2+3+2)+6115/6115*32)</f>
        <v>69</v>
      </c>
      <c r="J77" s="40"/>
      <c r="K77" s="40">
        <f t="shared" si="25"/>
        <v>381</v>
      </c>
      <c r="L77" s="7" t="s">
        <v>68</v>
      </c>
      <c r="M77" s="14">
        <f>4/4*336+153/153*(1000*0+2/2*-1017*0+5/5*1436*0+8/8*1716*0+11/11*1996)+2105/2105*(2/2*-510*0+5/5*-460*0+8/8*-410*0+11/11*-360)+(1379/1379)*(3/3*22772.46*0*4/4+5/5*13336.23*0+6/6*(5152/5152*(2*11386.23*0*7/7+8/8*35783.23*0+9/9*47169.46*0+10/10*58555.69*0+11/11*84596.2)+5169/5169*1950+5154/5154*13875))+5/5*1075/1075*3110.4+(6/6*6114/6114+10/10*6115/6115)*64*500+1305/1305*(194793*0+7/7*211445)+410303/410303*(1000+10/10*1000+11/11*1000)+7/7*(1066/1066*600+1074/1074*1935)+9/9*143719/143719*50+10/10*(21010/21010*546+1463/1463*12000*0*12/12)</f>
        <v>387079.6</v>
      </c>
      <c r="N77" s="72">
        <f>M77/(K77*1000)</f>
        <v>1.0159569553805774</v>
      </c>
      <c r="O77" s="33">
        <f>4/4*336+153/153*1996+1066/1066*600+1074/1074*1935+1075/1075*3110.4+1379/1379*100421.2+2105/2105*-360+(6114/6114+6115/6115)*32000+21010/21010*546+143719/143719*50+1305/1305*211445+3*1000</f>
        <v>387079.6</v>
      </c>
      <c r="P77" s="46" t="s">
        <v>101</v>
      </c>
      <c r="Q77" s="11">
        <v>250</v>
      </c>
      <c r="R77" s="11">
        <v>250</v>
      </c>
      <c r="S77" s="11">
        <v>250</v>
      </c>
      <c r="T77" s="11">
        <v>250</v>
      </c>
      <c r="V77" s="11"/>
      <c r="W77" s="11"/>
      <c r="X77" s="11">
        <v>-90</v>
      </c>
      <c r="Y77" s="11"/>
      <c r="Z77" s="11">
        <f t="shared" si="26"/>
        <v>160</v>
      </c>
      <c r="AA77" s="7"/>
      <c r="AB77" s="56">
        <f>2/2*58182+4/4*10000+5/5*34266+6/6*29338+7/7*412+8/8*6900+10/10*20400</f>
        <v>159498</v>
      </c>
      <c r="AC77" s="72">
        <f>AB77/(Z77*1000)</f>
        <v>0.9968625</v>
      </c>
      <c r="AD77" s="21"/>
      <c r="AE77" s="28">
        <f>131786-AB77</f>
        <v>-27712</v>
      </c>
    </row>
    <row r="78" spans="1:31" ht="12.75">
      <c r="A78" s="1" t="s">
        <v>84</v>
      </c>
      <c r="I78" s="18"/>
      <c r="J78" s="13"/>
      <c r="K78" s="13"/>
      <c r="M78" s="14">
        <f>2/2*3456*0*12/12</f>
        <v>0</v>
      </c>
      <c r="P78" s="46" t="s">
        <v>102</v>
      </c>
      <c r="Q78" s="11"/>
      <c r="R78" s="11">
        <v>961</v>
      </c>
      <c r="S78" s="11">
        <v>961.5</v>
      </c>
      <c r="T78" s="11"/>
      <c r="W78" s="11">
        <f>1144*0*5/5+8/8*(35+928)</f>
        <v>963</v>
      </c>
      <c r="X78" s="18">
        <f>35+928-963+(1416-963)-453*9/9+12/12*470</f>
        <v>470</v>
      </c>
      <c r="Y78" s="40"/>
      <c r="Z78" s="40">
        <f t="shared" si="26"/>
        <v>1433</v>
      </c>
      <c r="AA78" s="7"/>
      <c r="AB78" s="56">
        <f>4000+2/2*52716.33+3/3*10455+4/4*1076623.22+5/5*54994.21+6/6*(213703.34+88/88*(1234/1234*4*300+99/99*2100)+7/7*200+8/8*200)+9/9*(26635-(4*300+2100)*0)+10/10*-10000+11/11*32440+(300*4+2100)+12/12*-9800</f>
        <v>1458767.1</v>
      </c>
      <c r="AC78" s="72">
        <f>AB78/(Z78*1000)</f>
        <v>1.017981228192603</v>
      </c>
      <c r="AD78" s="21"/>
      <c r="AE78" s="28">
        <f>1412492.1-AB78</f>
        <v>-46275</v>
      </c>
    </row>
    <row r="79" spans="1:31" ht="12.75">
      <c r="A79" s="47" t="s">
        <v>123</v>
      </c>
      <c r="B79" s="2">
        <f aca="true" t="shared" si="27" ref="B79:I79">SUM(B59:B78)</f>
        <v>45000</v>
      </c>
      <c r="C79" s="2">
        <f t="shared" si="27"/>
        <v>47586.3</v>
      </c>
      <c r="D79" s="2">
        <f t="shared" si="27"/>
        <v>45708.100000000006</v>
      </c>
      <c r="E79" s="9">
        <f t="shared" si="27"/>
        <v>52161</v>
      </c>
      <c r="F79" s="9">
        <f t="shared" si="27"/>
        <v>0</v>
      </c>
      <c r="G79" s="9">
        <f t="shared" si="27"/>
        <v>30</v>
      </c>
      <c r="H79" s="38">
        <f t="shared" si="27"/>
        <v>424</v>
      </c>
      <c r="I79" s="38">
        <f t="shared" si="27"/>
        <v>-1236</v>
      </c>
      <c r="J79" s="9"/>
      <c r="K79" s="9">
        <f>SUM(K59:K78)</f>
        <v>51379</v>
      </c>
      <c r="M79" s="89">
        <f>SUM(M59:M78)</f>
        <v>44852075.14000001</v>
      </c>
      <c r="N79" s="73">
        <f>M79/(K79*1000)</f>
        <v>0.872965124661827</v>
      </c>
      <c r="O79" s="140">
        <f>2/2*4840804.32-M79</f>
        <v>-40011270.82000001</v>
      </c>
      <c r="P79" s="129">
        <f>(K79*78/78+K99*98/98+K100*99/99+K102*101/101+K103*102/102+(K106*105/105-P106*105/105*0)+K110*109/109+K120*119/119-3/3*53096.1*0-4/4*53201.1*0-5/5*53803*0-6/6*54054*0-7/7*54968.8*0-9/9*54684.8*0-10/10*55376.8*0-12/12*54161.5)+(M79+M99+M100+M102+M103+(M106-P106)+M110+M120-3/3*(8786739.82*0+4/4*13133997.52*0+5/5*16492341.41*0+6/6*21056867.38*0+7/7*25813860.46*0+8/8*29095832.28*0+9/9*32807633.39*0+10/10*37483073.73*0+11/11*41104694.14*0+12/12*47740905.45+(10/10)*(159.5*0+6/6*319*0+9/9*478.5*0+12/12*638)))</f>
        <v>323978.00000000745</v>
      </c>
      <c r="Q79" s="2">
        <f aca="true" t="shared" si="28" ref="Q79:Y79">SUM(Q59:Q78)</f>
        <v>10931</v>
      </c>
      <c r="R79" s="2">
        <f t="shared" si="28"/>
        <v>11339</v>
      </c>
      <c r="S79" s="9">
        <f t="shared" si="28"/>
        <v>11501.4</v>
      </c>
      <c r="T79" s="9">
        <f t="shared" si="28"/>
        <v>18728.000004705133</v>
      </c>
      <c r="U79" s="9">
        <f t="shared" si="28"/>
        <v>0</v>
      </c>
      <c r="V79" s="9">
        <f t="shared" si="28"/>
        <v>261</v>
      </c>
      <c r="W79" s="9">
        <f t="shared" si="28"/>
        <v>963</v>
      </c>
      <c r="X79" s="9">
        <f t="shared" si="28"/>
        <v>1089</v>
      </c>
      <c r="Y79" s="9">
        <f t="shared" si="28"/>
        <v>0</v>
      </c>
      <c r="Z79" s="9">
        <f>SUM(Z59:Z78)</f>
        <v>21041.000004705133</v>
      </c>
      <c r="AA79" s="120"/>
      <c r="AB79" s="113">
        <f>SUM(AB59:AB78)</f>
        <v>21554065.59470513</v>
      </c>
      <c r="AC79" s="73">
        <f>AB79/(Z79*1000)</f>
        <v>1.0243840877280201</v>
      </c>
      <c r="AD79" s="140">
        <f>2/2*278894.1+2*1540000-AB79</f>
        <v>-18195171.49470513</v>
      </c>
      <c r="AE79" s="119">
        <f>(((Z79-Z62)+Z99+Z100+Z102+Z103+Z106+Z110+Z120-3/3*(1185.1*0+4/4*1290.1*0+5/5*1892*0+6/6*2153*0+7/7*2580.8*0+9/9*3543.8*0+10/10*4235.8*0+12/12*5205.5+Z59))+(10/10)*18478*0)+((AB79-AB62)+AB99+AB100+AB102+AB106+AB110+AB120+AB103-3/3*1413368.26*0-4/4*(2668791.48*0+5/5*3519705.69*0+6/6*3897413.24*0+7/7*4400756.24*0+8/8*4480106.24*0+9/9*4735734.63*0+10/10*5531977.63*0+11/11*5677819.63*0+12/12*5858267.04+10/10*(52.06*0+104.59*0+9/9*157.59*0+12/12*198.55)))</f>
        <v>0</v>
      </c>
    </row>
    <row r="80" spans="1:29" s="21" customFormat="1" ht="12.75">
      <c r="A80" s="94"/>
      <c r="B80" s="17"/>
      <c r="C80" s="17"/>
      <c r="D80" s="17"/>
      <c r="E80" s="10"/>
      <c r="F80" s="10"/>
      <c r="G80" s="10"/>
      <c r="H80" s="11"/>
      <c r="I80" s="11"/>
      <c r="J80" s="10"/>
      <c r="K80" s="10"/>
      <c r="L80" s="7"/>
      <c r="M80" s="14"/>
      <c r="N80" s="72"/>
      <c r="O80" s="33"/>
      <c r="P80" s="46" t="s">
        <v>103</v>
      </c>
      <c r="Q80" s="17">
        <v>2368</v>
      </c>
      <c r="R80" s="17">
        <v>2418</v>
      </c>
      <c r="S80" s="10">
        <v>2215.6</v>
      </c>
      <c r="T80" s="41">
        <f>250+35+520+13+250+1300</f>
        <v>2368</v>
      </c>
      <c r="U80" s="42"/>
      <c r="V80" s="42"/>
      <c r="W80" s="42"/>
      <c r="X80" s="42">
        <f>250+35+520+13+250+700+(600*0+62.5+1361/1361*537.5)-T80</f>
        <v>0</v>
      </c>
      <c r="Y80" s="42"/>
      <c r="Z80" s="42">
        <f aca="true" t="shared" si="29" ref="Z80:Z88">SUM(T80:Y80)</f>
        <v>2368</v>
      </c>
      <c r="AA80" s="143" t="s">
        <v>44</v>
      </c>
      <c r="AB80" s="28">
        <f>41/41*(9/9*271443*0+10/10*257690.5*0+11/11*267574.5*0+12/12*266596.25)+42/42*(9/9*17572.5*0+10/10*13327.5*0+11/11*15292.5*0+12/12*13635)+43/43*(9/9*406807*0+10/10*480549*0+11/11*610380*0+12/12*618265)+44/44*(3000*0+2/2*7305*0+5/5*12599.5*0+6/6*16303.5)+45/45*(9/9*162748*0+10/10*186012*0+11/11*216792*0+12/12*231044)+47/47*(0+10000*0+3/3*90000*0+4/4*140000*0+5/5*225000*0+6/6*320000*0+8/8*405000*0+9/9*425000*0+10/10*475000*0+11/11*565000*0+12/12*580000)+51/51*(42936*0+2/2*86881*0+3/3*277635*0+4/4*286107*0+7/7*619122)</f>
        <v>2344965.75</v>
      </c>
      <c r="AC80" s="72">
        <f aca="true" t="shared" si="30" ref="AC80:AC87">AB80/(Z80*1000)</f>
        <v>0.9902726984797298</v>
      </c>
    </row>
    <row r="81" spans="1:31" ht="12.75">
      <c r="A81" s="94"/>
      <c r="P81" s="46" t="s">
        <v>104</v>
      </c>
      <c r="Q81" s="17">
        <v>3400</v>
      </c>
      <c r="R81" s="17">
        <v>2554</v>
      </c>
      <c r="S81" s="144">
        <f>3110/3110*2404+37*16-37*(16*2)*50%+150</f>
        <v>2554</v>
      </c>
      <c r="T81" s="42">
        <f>3400-500*0</f>
        <v>3400</v>
      </c>
      <c r="U81" s="42"/>
      <c r="V81" s="42"/>
      <c r="W81" s="42"/>
      <c r="X81" s="42">
        <v>-700</v>
      </c>
      <c r="Y81" s="42"/>
      <c r="Z81" s="42">
        <f t="shared" si="29"/>
        <v>2700</v>
      </c>
      <c r="AA81" s="12" t="s">
        <v>48</v>
      </c>
      <c r="AB81" s="28">
        <f>94525*0+2/2*261816*0+3/3*486256*0+4/4*623971*0+5/5*813941*0+6/6*1624366*0+7/7*1758386+8/8*175615+9/9*251910+10/10*103890+11/11*120070+12/12*177985</f>
        <v>2587856</v>
      </c>
      <c r="AC81" s="72">
        <f t="shared" si="30"/>
        <v>0.9584651851851852</v>
      </c>
      <c r="AD81" s="21"/>
      <c r="AE81" s="28" t="s">
        <v>175</v>
      </c>
    </row>
    <row r="82" spans="1:31" ht="12.75">
      <c r="A82" s="94"/>
      <c r="P82" s="46" t="s">
        <v>105</v>
      </c>
      <c r="Q82" s="17">
        <v>5000</v>
      </c>
      <c r="R82" s="17">
        <v>5000</v>
      </c>
      <c r="S82" s="10">
        <v>5000</v>
      </c>
      <c r="T82" s="10">
        <v>5000</v>
      </c>
      <c r="V82" s="10">
        <f>3/3*4200</f>
        <v>4200</v>
      </c>
      <c r="Z82" s="10">
        <f t="shared" si="29"/>
        <v>9200</v>
      </c>
      <c r="AB82" s="28">
        <f>5/5*54775+6/6*5490135+8/8*88434+9/9*63567+10/10*12831+11/11*21770+12/12*2921137.53</f>
        <v>8652649.53</v>
      </c>
      <c r="AC82" s="72">
        <f t="shared" si="30"/>
        <v>0.9405053836956521</v>
      </c>
      <c r="AD82" s="21"/>
      <c r="AE82" s="28">
        <f>9200000-AB82</f>
        <v>547350.4700000007</v>
      </c>
    </row>
    <row r="83" spans="16:31" ht="12.75">
      <c r="P83" s="46" t="s">
        <v>94</v>
      </c>
      <c r="Z83" s="10">
        <f t="shared" si="29"/>
        <v>0</v>
      </c>
      <c r="AB83" s="145">
        <f>1632000*12-6000-AB62-AB24-AB21</f>
        <v>-0.0047051310539245605</v>
      </c>
      <c r="AC83" s="72"/>
      <c r="AD83" s="21"/>
      <c r="AE83" s="32">
        <f>AB62+AB21+AB24</f>
        <v>19578000.00470513</v>
      </c>
    </row>
    <row r="84" spans="1:29" s="21" customFormat="1" ht="12.75">
      <c r="A84" s="1"/>
      <c r="B84" s="17"/>
      <c r="C84" s="17"/>
      <c r="D84" s="17"/>
      <c r="E84" s="10"/>
      <c r="F84" s="10"/>
      <c r="G84" s="10"/>
      <c r="H84" s="11"/>
      <c r="I84" s="11"/>
      <c r="J84" s="10"/>
      <c r="K84" s="10"/>
      <c r="L84" s="7"/>
      <c r="M84" s="14"/>
      <c r="N84" s="72"/>
      <c r="O84" s="33"/>
      <c r="P84" s="46" t="s">
        <v>106</v>
      </c>
      <c r="Q84" s="17">
        <v>33534</v>
      </c>
      <c r="R84" s="17">
        <v>33534</v>
      </c>
      <c r="S84" s="10">
        <v>33534</v>
      </c>
      <c r="T84" s="18">
        <f>8408*3.728472883</f>
        <v>31349.000000263997</v>
      </c>
      <c r="U84" s="13"/>
      <c r="V84" s="13"/>
      <c r="W84" s="13"/>
      <c r="X84" s="13"/>
      <c r="Y84" s="13"/>
      <c r="Z84" s="13">
        <f t="shared" si="29"/>
        <v>31349.000000263997</v>
      </c>
      <c r="AA84" s="57" t="s">
        <v>45</v>
      </c>
      <c r="AB84" s="28">
        <f>2612000*12+5000</f>
        <v>31349000</v>
      </c>
      <c r="AC84" s="72">
        <f t="shared" si="30"/>
        <v>0.9999999999915788</v>
      </c>
    </row>
    <row r="85" spans="1:29" s="21" customFormat="1" ht="12.75">
      <c r="A85" s="1"/>
      <c r="B85" s="17"/>
      <c r="C85" s="17"/>
      <c r="D85" s="17"/>
      <c r="E85" s="10"/>
      <c r="F85" s="10"/>
      <c r="G85" s="10"/>
      <c r="H85" s="11"/>
      <c r="I85" s="11"/>
      <c r="J85" s="10"/>
      <c r="K85" s="10"/>
      <c r="L85" s="7"/>
      <c r="M85" s="14"/>
      <c r="N85" s="72"/>
      <c r="O85" s="33"/>
      <c r="P85" s="46" t="s">
        <v>107</v>
      </c>
      <c r="Q85" s="17"/>
      <c r="R85" s="17">
        <v>2198.3</v>
      </c>
      <c r="S85" s="10">
        <v>2198.4</v>
      </c>
      <c r="T85" s="10"/>
      <c r="U85" s="10"/>
      <c r="V85" s="10">
        <f>7/7*9835.9*0*9/9</f>
        <v>0</v>
      </c>
      <c r="W85" s="11">
        <f>7/7*9835.9</f>
        <v>9835.9</v>
      </c>
      <c r="X85" s="10"/>
      <c r="Y85" s="10"/>
      <c r="Z85" s="10">
        <f t="shared" si="29"/>
        <v>9835.9</v>
      </c>
      <c r="AA85" s="12"/>
      <c r="AB85" s="28">
        <f>8/8*99/99*9835956.28</f>
        <v>9835956.28</v>
      </c>
      <c r="AC85" s="72">
        <f t="shared" si="30"/>
        <v>1.0000057218963185</v>
      </c>
    </row>
    <row r="86" spans="16:31" ht="12.75">
      <c r="P86" s="46" t="s">
        <v>108</v>
      </c>
      <c r="Q86" s="17">
        <v>39526</v>
      </c>
      <c r="R86" s="17">
        <f>55150+2500</f>
        <v>57650</v>
      </c>
      <c r="S86" s="10">
        <f>55150+2500</f>
        <v>57650</v>
      </c>
      <c r="T86" s="18">
        <f>4662+2498+1000</f>
        <v>8160</v>
      </c>
      <c r="U86" s="13"/>
      <c r="V86" s="13">
        <f>3/3*(-4200+2000+80)</f>
        <v>-2120</v>
      </c>
      <c r="W86" s="40">
        <f>-3000*0*5/5</f>
        <v>0</v>
      </c>
      <c r="X86" s="13"/>
      <c r="Y86" s="13"/>
      <c r="Z86" s="13">
        <f t="shared" si="29"/>
        <v>6040</v>
      </c>
      <c r="AA86" s="57" t="s">
        <v>46</v>
      </c>
      <c r="AB86" s="28">
        <f>12/12*7000000</f>
        <v>7000000</v>
      </c>
      <c r="AC86" s="72">
        <f t="shared" si="30"/>
        <v>1.1589403973509933</v>
      </c>
      <c r="AD86" s="21"/>
      <c r="AE86" s="28" t="s">
        <v>150</v>
      </c>
    </row>
    <row r="87" spans="16:31" ht="12.75">
      <c r="P87" s="46" t="s">
        <v>109</v>
      </c>
      <c r="T87" s="18"/>
      <c r="U87" s="13"/>
      <c r="V87" s="13"/>
      <c r="W87" s="40">
        <f>10000*0*5/5+9/9*-750</f>
        <v>-750</v>
      </c>
      <c r="X87" s="13"/>
      <c r="Y87" s="13"/>
      <c r="Z87" s="13">
        <f t="shared" si="29"/>
        <v>-750</v>
      </c>
      <c r="AA87" s="57"/>
      <c r="AB87" s="28">
        <f>2/2*-1099279+7/7*-253598.75+9/9*602886.48</f>
        <v>-749991.27</v>
      </c>
      <c r="AC87" s="72">
        <f t="shared" si="30"/>
        <v>0.99998836</v>
      </c>
      <c r="AD87" s="21"/>
      <c r="AE87" s="28">
        <f>(2/2*-1099279+7/7*-253598.75)*0+9/9*602886.48</f>
        <v>602886.48</v>
      </c>
    </row>
    <row r="88" spans="16:31" ht="12.75">
      <c r="P88" s="46" t="s">
        <v>110</v>
      </c>
      <c r="Z88" s="10">
        <f t="shared" si="29"/>
        <v>0</v>
      </c>
      <c r="AB88" s="28">
        <f>17000*0*2/2+3/3*1076823.22*0*4/4</f>
        <v>0</v>
      </c>
      <c r="AE88" s="146">
        <f>180683.9-99663-Z89-18478</f>
        <v>1799.9999997359919</v>
      </c>
    </row>
    <row r="89" spans="1:31" ht="12.75">
      <c r="A89" s="47" t="s">
        <v>124</v>
      </c>
      <c r="B89" s="2">
        <f aca="true" t="shared" si="31" ref="B89:I89">SUM(B80:B88)</f>
        <v>0</v>
      </c>
      <c r="C89" s="2">
        <f t="shared" si="31"/>
        <v>0</v>
      </c>
      <c r="D89" s="2">
        <f t="shared" si="31"/>
        <v>0</v>
      </c>
      <c r="E89" s="9">
        <f t="shared" si="31"/>
        <v>0</v>
      </c>
      <c r="F89" s="9">
        <f t="shared" si="31"/>
        <v>0</v>
      </c>
      <c r="G89" s="9">
        <f t="shared" si="31"/>
        <v>0</v>
      </c>
      <c r="H89" s="38">
        <f t="shared" si="31"/>
        <v>0</v>
      </c>
      <c r="I89" s="38">
        <f t="shared" si="31"/>
        <v>0</v>
      </c>
      <c r="J89" s="9"/>
      <c r="K89" s="9">
        <f>SUM(K80:K88)</f>
        <v>0</v>
      </c>
      <c r="M89" s="89">
        <f>SUM(M80:M88)</f>
        <v>0</v>
      </c>
      <c r="Q89" s="2">
        <f aca="true" t="shared" si="32" ref="Q89:Y89">SUM(Q80:Q88)</f>
        <v>83828</v>
      </c>
      <c r="R89" s="2">
        <f t="shared" si="32"/>
        <v>103354.3</v>
      </c>
      <c r="S89" s="9">
        <f t="shared" si="32"/>
        <v>103152</v>
      </c>
      <c r="T89" s="9">
        <f t="shared" si="32"/>
        <v>50277.000000264</v>
      </c>
      <c r="U89" s="9">
        <f t="shared" si="32"/>
        <v>0</v>
      </c>
      <c r="V89" s="9">
        <f t="shared" si="32"/>
        <v>2080</v>
      </c>
      <c r="W89" s="9">
        <f t="shared" si="32"/>
        <v>9085.9</v>
      </c>
      <c r="X89" s="9">
        <f t="shared" si="32"/>
        <v>-700</v>
      </c>
      <c r="Y89" s="9">
        <f t="shared" si="32"/>
        <v>0</v>
      </c>
      <c r="Z89" s="9">
        <f>SUM(Z80:Z88)</f>
        <v>60742.900000264</v>
      </c>
      <c r="AB89" s="113">
        <f>SUM(AB80:AB88)</f>
        <v>61020436.28529487</v>
      </c>
      <c r="AC89" s="73">
        <f>AB89/(Z89*1000)</f>
        <v>1.00456903251293</v>
      </c>
      <c r="AD89" s="140">
        <f>2/2*(19276000.1-11383701.1-2*1540000-(AB21+AB24))-AB89</f>
        <v>-57308137.28529487</v>
      </c>
      <c r="AE89" s="119">
        <f>((9/9)*12/12*Z59+(Z89+(4/4*(350+750)+9/9*18478)+10/10*52.06*0+(7/7)*-9835.9*0)-3/3*(171598-99663)*0-8/8*(180081-99663)*0-9/9*(180683.9-99663)*10/10*0-12/12*(180123.9-99663))+(AB89+(4/4*(87000+189000)+9/9*4620000+10/10*11424157.59)-3/3*(36060356.38-22142988.1)*0-6/6*(80172213.62-47425152.03)*0-7/7*(98536647.08-61263699.24)*0-8/8*(122954400.36-71212559.24)*0-9/9*(143479259.84-85895319.24)*0-10/10*(159161297.23-97587627.13)*0-11/11*(174817588.23-108595618.13)*0-12/12*(201843241.12-121244606.28))</f>
        <v>-3258040.9647048754</v>
      </c>
    </row>
    <row r="90" spans="1:29" s="21" customFormat="1" ht="12.75">
      <c r="A90" s="1"/>
      <c r="B90" s="17"/>
      <c r="C90" s="17"/>
      <c r="D90" s="17"/>
      <c r="E90" s="10"/>
      <c r="F90" s="10"/>
      <c r="G90" s="10"/>
      <c r="H90" s="11"/>
      <c r="I90" s="11"/>
      <c r="J90" s="10"/>
      <c r="K90" s="10"/>
      <c r="L90" s="7"/>
      <c r="M90" s="92"/>
      <c r="N90" s="74"/>
      <c r="O90" s="34"/>
      <c r="P90" s="7"/>
      <c r="Q90" s="17"/>
      <c r="R90" s="17"/>
      <c r="S90" s="10"/>
      <c r="T90" s="10"/>
      <c r="U90" s="10"/>
      <c r="V90" s="10"/>
      <c r="W90" s="10"/>
      <c r="X90" s="10"/>
      <c r="Y90" s="10"/>
      <c r="Z90" s="10"/>
      <c r="AA90" s="6"/>
      <c r="AB90" s="147"/>
      <c r="AC90" s="74"/>
    </row>
    <row r="91" spans="1:29" s="114" customFormat="1" ht="12.75">
      <c r="A91" s="49" t="s">
        <v>57</v>
      </c>
      <c r="B91" s="4">
        <f aca="true" t="shared" si="33" ref="B91:H91">SUM(B7:B90)/2</f>
        <v>98377</v>
      </c>
      <c r="C91" s="4">
        <f t="shared" si="33"/>
        <v>119994.29999999999</v>
      </c>
      <c r="D91" s="4">
        <f t="shared" si="33"/>
        <v>114917.5</v>
      </c>
      <c r="E91" s="5">
        <f t="shared" si="33"/>
        <v>81875</v>
      </c>
      <c r="F91" s="5">
        <f t="shared" si="33"/>
        <v>0</v>
      </c>
      <c r="G91" s="5">
        <f t="shared" si="33"/>
        <v>2341</v>
      </c>
      <c r="H91" s="5">
        <f t="shared" si="33"/>
        <v>10798.9</v>
      </c>
      <c r="I91" s="5">
        <f>SUM(I4:I90)/2</f>
        <v>-757.9000000000001</v>
      </c>
      <c r="J91" s="5"/>
      <c r="K91" s="5">
        <f>SUM(K4:K90)/2</f>
        <v>94257</v>
      </c>
      <c r="L91" s="7"/>
      <c r="M91" s="15">
        <f>SUM(M4:M90)/2</f>
        <v>84519360.78</v>
      </c>
      <c r="N91" s="75">
        <f>M91/(K91*1000)</f>
        <v>0.8966905458480537</v>
      </c>
      <c r="O91" s="35"/>
      <c r="P91" s="31"/>
      <c r="Q91" s="4">
        <f aca="true" t="shared" si="34" ref="Q91:Y91">SUM(Q7:Q90)/2</f>
        <v>97585</v>
      </c>
      <c r="R91" s="4">
        <f t="shared" si="34"/>
        <v>117535.29999999999</v>
      </c>
      <c r="S91" s="5">
        <f t="shared" si="34"/>
        <v>117495.4</v>
      </c>
      <c r="T91" s="5">
        <f t="shared" si="34"/>
        <v>81875.00000496913</v>
      </c>
      <c r="U91" s="5">
        <f t="shared" si="34"/>
        <v>0</v>
      </c>
      <c r="V91" s="5">
        <f t="shared" si="34"/>
        <v>2341</v>
      </c>
      <c r="W91" s="5">
        <f t="shared" si="34"/>
        <v>10048.9</v>
      </c>
      <c r="X91" s="5">
        <f t="shared" si="34"/>
        <v>-757.9000000000001</v>
      </c>
      <c r="Y91" s="5">
        <f t="shared" si="34"/>
        <v>0</v>
      </c>
      <c r="Z91" s="5">
        <f>SUM(Z7:Z90)/2</f>
        <v>93507.00000496913</v>
      </c>
      <c r="AA91" s="6"/>
      <c r="AB91" s="60">
        <f>SUM(AB7:AB90)/2</f>
        <v>85146816.09</v>
      </c>
      <c r="AC91" s="75">
        <f>AB91/(Z91*1000)</f>
        <v>0.910592961868899</v>
      </c>
    </row>
    <row r="92" spans="1:29" s="21" customFormat="1" ht="12.75">
      <c r="A92" s="1"/>
      <c r="B92" s="17"/>
      <c r="C92" s="17"/>
      <c r="D92" s="17"/>
      <c r="E92" s="10"/>
      <c r="F92" s="10"/>
      <c r="G92" s="10"/>
      <c r="H92" s="11"/>
      <c r="I92" s="11"/>
      <c r="J92" s="10"/>
      <c r="K92" s="10"/>
      <c r="L92" s="7"/>
      <c r="M92" s="14"/>
      <c r="N92" s="72"/>
      <c r="O92" s="33"/>
      <c r="P92" s="7"/>
      <c r="Q92" s="17">
        <f>Q91-B91</f>
        <v>-792</v>
      </c>
      <c r="R92" s="17">
        <f>R91-C91</f>
        <v>-2459</v>
      </c>
      <c r="S92" s="10">
        <f>S91-D91</f>
        <v>2577.899999999994</v>
      </c>
      <c r="T92" s="59">
        <f>T91-E91</f>
        <v>4.969129804521799E-06</v>
      </c>
      <c r="U92" s="59">
        <f aca="true" t="shared" si="35" ref="U92:Z92">U91-F91</f>
        <v>0</v>
      </c>
      <c r="V92" s="59">
        <f t="shared" si="35"/>
        <v>0</v>
      </c>
      <c r="W92" s="59">
        <f t="shared" si="35"/>
        <v>-750</v>
      </c>
      <c r="X92" s="59">
        <f>X91-I91</f>
        <v>0</v>
      </c>
      <c r="Y92" s="59">
        <f t="shared" si="35"/>
        <v>0</v>
      </c>
      <c r="Z92" s="59">
        <f t="shared" si="35"/>
        <v>-749.9999950308702</v>
      </c>
      <c r="AA92" s="6"/>
      <c r="AB92" s="157">
        <f>AB91-M91</f>
        <v>627455.3100000024</v>
      </c>
      <c r="AC92" s="72"/>
    </row>
    <row r="93" spans="1:29" s="21" customFormat="1" ht="12.75">
      <c r="A93" s="50" t="s">
        <v>55</v>
      </c>
      <c r="B93" s="115"/>
      <c r="C93" s="115"/>
      <c r="D93" s="115"/>
      <c r="E93" s="116"/>
      <c r="F93" s="116"/>
      <c r="G93" s="116"/>
      <c r="H93" s="121"/>
      <c r="I93" s="121"/>
      <c r="J93" s="116"/>
      <c r="K93" s="116"/>
      <c r="L93" s="7"/>
      <c r="M93" s="14"/>
      <c r="N93" s="72"/>
      <c r="O93" s="33"/>
      <c r="P93" s="7"/>
      <c r="Q93" s="17"/>
      <c r="R93" s="17"/>
      <c r="S93" s="10"/>
      <c r="T93" s="10"/>
      <c r="U93" s="10"/>
      <c r="V93" s="10"/>
      <c r="W93" s="10"/>
      <c r="X93" s="10"/>
      <c r="Y93" s="10"/>
      <c r="Z93" s="10"/>
      <c r="AA93" s="6"/>
      <c r="AB93" s="14"/>
      <c r="AC93" s="72"/>
    </row>
    <row r="94" spans="1:31" ht="12.75">
      <c r="A94" s="47" t="s">
        <v>74</v>
      </c>
      <c r="B94" s="115"/>
      <c r="C94" s="115"/>
      <c r="D94" s="115"/>
      <c r="E94" s="116"/>
      <c r="F94" s="116"/>
      <c r="G94" s="116"/>
      <c r="H94" s="121"/>
      <c r="I94" s="121"/>
      <c r="J94" s="116"/>
      <c r="K94" s="116"/>
      <c r="AB94" s="61">
        <f>SUM(AB95:AB103)-SUM(M95:M103)</f>
        <v>145587.69000000134</v>
      </c>
      <c r="AC94" s="72"/>
      <c r="AD94" s="21"/>
      <c r="AE94" s="55">
        <f>(52357+(4/4*(350+750)+9/9*18478)+10/10*52.06)-3/3*(171598-99663)+(9021316.22+(4/4*(87000+189000)+9/9*4620000)-3/3*(36060356.38-22142988.1))</f>
        <v>-5.238689482212067E-10</v>
      </c>
    </row>
    <row r="95" spans="1:31" ht="24">
      <c r="A95" s="149" t="s">
        <v>130</v>
      </c>
      <c r="B95" s="133"/>
      <c r="C95" s="133"/>
      <c r="D95" s="133"/>
      <c r="E95" s="11"/>
      <c r="F95" s="11">
        <f>1/1*6000+9/9*-500+11/11*-200</f>
        <v>5300</v>
      </c>
      <c r="G95" s="11"/>
      <c r="J95" s="11"/>
      <c r="K95" s="11">
        <f aca="true" t="shared" si="36" ref="K95:K101">SUM(E95:J95)</f>
        <v>5300</v>
      </c>
      <c r="M95" s="14">
        <f>1610453*0+2/2*(3515568-M96)*0+3/3*1203444*0+4/4*7533298*0+5/5*9398395*0+6/6*11070385*0+7/7*13430222*0+8/8*15108588*0+9/9*17027876*0+10/10*18941145*0+11/11*20659462*0+12/12*22475152-M96</f>
        <v>4321152</v>
      </c>
      <c r="N95" s="72">
        <f aca="true" t="shared" si="37" ref="N95:N115">M95/(K95*1000)</f>
        <v>0.8153116981132076</v>
      </c>
      <c r="O95" s="93" t="s">
        <v>167</v>
      </c>
      <c r="Q95" s="133"/>
      <c r="R95" s="133"/>
      <c r="S95" s="11"/>
      <c r="T95" s="11"/>
      <c r="U95" s="11">
        <f>1/1*6000+9/9*-500+11/11*-200</f>
        <v>5300</v>
      </c>
      <c r="V95" s="11"/>
      <c r="W95" s="11"/>
      <c r="X95" s="11"/>
      <c r="Y95" s="11"/>
      <c r="Z95" s="11">
        <f aca="true" t="shared" si="38" ref="Z95:Z101">SUM(T95:Y95)</f>
        <v>5300</v>
      </c>
      <c r="AB95" s="14">
        <f>1000000+2/2*500000+4/4*200000+5/5*800000+6/6*500000+7/7*500000+8/8*500000+9/9*(10/10)*500000+12/12*200000</f>
        <v>4700000</v>
      </c>
      <c r="AC95" s="72">
        <f aca="true" t="shared" si="39" ref="AC95:AC117">AB95/(Z95*1000)</f>
        <v>0.8867924528301887</v>
      </c>
      <c r="AD95" s="21"/>
      <c r="AE95" s="28">
        <f>4700000-AB95</f>
        <v>0</v>
      </c>
    </row>
    <row r="96" spans="1:31" ht="24">
      <c r="A96" s="149" t="s">
        <v>131</v>
      </c>
      <c r="B96" s="133"/>
      <c r="C96" s="133"/>
      <c r="D96" s="133"/>
      <c r="E96" s="11"/>
      <c r="F96" s="11">
        <f>1/1*16730+11/11*500+12/12*1149</f>
        <v>18379</v>
      </c>
      <c r="G96" s="11"/>
      <c r="J96" s="11"/>
      <c r="K96" s="11">
        <f t="shared" si="36"/>
        <v>18379</v>
      </c>
      <c r="M96" s="14">
        <f>1482000*0+2/2*2912000+3/3*1483000+4/4*1523000+5/5*1565000+6/6*1486000+7/7*1493000+8/8*1563000+9/9*1589000+10/10*1572000+11/11*1518000+12/12*1450000</f>
        <v>18154000</v>
      </c>
      <c r="N96" s="72">
        <f t="shared" si="37"/>
        <v>0.9877577670167038</v>
      </c>
      <c r="O96" s="93" t="s">
        <v>168</v>
      </c>
      <c r="Q96" s="133"/>
      <c r="R96" s="133"/>
      <c r="S96" s="11"/>
      <c r="T96" s="11"/>
      <c r="U96" s="11">
        <f>1/1*16730+11/11*500+12/12*1149</f>
        <v>18379</v>
      </c>
      <c r="V96" s="11"/>
      <c r="W96" s="11"/>
      <c r="X96" s="11"/>
      <c r="Y96" s="11"/>
      <c r="Z96" s="11">
        <f t="shared" si="38"/>
        <v>18379</v>
      </c>
      <c r="AB96" s="14">
        <f>1800000+2/2*1600000+3/3*1486000+4/4*1534000+5/5*1375000+6/6*1523000+7/7*1565000+8/8*1386000+9/9*1393000+10/10*1563000+11/11*1589000+12/12*1565000</f>
        <v>18379000</v>
      </c>
      <c r="AC96" s="72">
        <f t="shared" si="39"/>
        <v>1</v>
      </c>
      <c r="AD96" s="21"/>
      <c r="AE96" s="28">
        <f>18379000-AB96</f>
        <v>0</v>
      </c>
    </row>
    <row r="97" spans="1:31" ht="12.75">
      <c r="A97" s="149" t="s">
        <v>132</v>
      </c>
      <c r="B97" s="133"/>
      <c r="C97" s="133"/>
      <c r="D97" s="133"/>
      <c r="E97" s="11"/>
      <c r="F97" s="11">
        <f>3/3*30</f>
        <v>30</v>
      </c>
      <c r="G97" s="11"/>
      <c r="J97" s="11"/>
      <c r="K97" s="11">
        <f t="shared" si="36"/>
        <v>30</v>
      </c>
      <c r="M97" s="98">
        <f>6/6*(21000*0+3000*3*1/1*5/5*6/6+6000*2*2/2*4/4+10/10*3000)</f>
        <v>24000</v>
      </c>
      <c r="N97" s="72">
        <f t="shared" si="37"/>
        <v>0.8</v>
      </c>
      <c r="O97" s="33" t="s">
        <v>160</v>
      </c>
      <c r="Q97" s="133"/>
      <c r="R97" s="133"/>
      <c r="S97" s="11"/>
      <c r="T97" s="11"/>
      <c r="U97" s="11">
        <f>3/3*30</f>
        <v>30</v>
      </c>
      <c r="V97" s="11"/>
      <c r="W97" s="11"/>
      <c r="X97" s="11"/>
      <c r="Y97" s="11"/>
      <c r="Z97" s="11">
        <f t="shared" si="38"/>
        <v>30</v>
      </c>
      <c r="AB97" s="14">
        <f>3/3*30000</f>
        <v>30000</v>
      </c>
      <c r="AC97" s="72">
        <f t="shared" si="39"/>
        <v>1</v>
      </c>
      <c r="AD97" s="21"/>
      <c r="AE97" s="148" t="s">
        <v>152</v>
      </c>
    </row>
    <row r="98" spans="1:29" s="21" customFormat="1" ht="12.75">
      <c r="A98" s="149" t="s">
        <v>93</v>
      </c>
      <c r="B98" s="133"/>
      <c r="C98" s="133"/>
      <c r="D98" s="133"/>
      <c r="E98" s="11"/>
      <c r="F98" s="11">
        <f>892+223+80+16+34+15</f>
        <v>1260</v>
      </c>
      <c r="G98" s="11"/>
      <c r="H98" s="11">
        <f>1260*0*5/5</f>
        <v>0</v>
      </c>
      <c r="I98" s="11"/>
      <c r="J98" s="11"/>
      <c r="K98" s="11">
        <f t="shared" si="36"/>
        <v>1260</v>
      </c>
      <c r="L98" s="7"/>
      <c r="M98" s="14">
        <f>(669000+167250+60000+12000+25500+11250)*0+12/12*(892000+223000+80000+16000+34000+15000)</f>
        <v>1260000</v>
      </c>
      <c r="N98" s="72">
        <f t="shared" si="37"/>
        <v>1</v>
      </c>
      <c r="O98" s="33" t="s">
        <v>161</v>
      </c>
      <c r="P98" s="7"/>
      <c r="Q98" s="133"/>
      <c r="R98" s="133"/>
      <c r="S98" s="11"/>
      <c r="T98" s="11"/>
      <c r="U98" s="11">
        <f>892+223+80+16+34+15</f>
        <v>1260</v>
      </c>
      <c r="V98" s="11"/>
      <c r="W98" s="11">
        <f>1260*0*5/5</f>
        <v>0</v>
      </c>
      <c r="X98" s="11"/>
      <c r="Y98" s="11"/>
      <c r="Z98" s="11">
        <f t="shared" si="38"/>
        <v>1260</v>
      </c>
      <c r="AA98" s="6"/>
      <c r="AB98" s="14">
        <f>3/3*1260000*(40%+5/5*30%+10/10*30%)</f>
        <v>1260000</v>
      </c>
      <c r="AC98" s="72">
        <f>AB98/((Z98+1260)*1000)</f>
        <v>0.5</v>
      </c>
    </row>
    <row r="99" spans="1:29" s="21" customFormat="1" ht="12.75">
      <c r="A99" s="149" t="s">
        <v>133</v>
      </c>
      <c r="B99" s="133"/>
      <c r="C99" s="133"/>
      <c r="D99" s="133"/>
      <c r="E99" s="11"/>
      <c r="F99" s="11">
        <f>2/2*369.9+5/5*369.9+7/7*427.8+10/10*427.8</f>
        <v>1595.3999999999999</v>
      </c>
      <c r="G99" s="11"/>
      <c r="H99" s="11"/>
      <c r="I99" s="11"/>
      <c r="J99" s="11"/>
      <c r="K99" s="11">
        <f t="shared" si="36"/>
        <v>1595.3999999999999</v>
      </c>
      <c r="L99" s="7"/>
      <c r="M99" s="14">
        <f>(3/3*920+4/4*920+5/5*920)+6/6*(495978+126640+45661)*0+9/9*(825326+209082+75302)*0+11/11*2640+12/12*((1243131+314930+113488)+(9630-2760-2640)+(4973+1500+42719+4960.2+2500+27279+600+17915+100560+5500+18540+14746+284+36314.21)+732/732*(129+1271+17779+4955+61252+5417+9175))</f>
        <v>2059547.4100000001</v>
      </c>
      <c r="N99" s="72">
        <f t="shared" si="37"/>
        <v>1.290928550833647</v>
      </c>
      <c r="O99" s="33" t="s">
        <v>163</v>
      </c>
      <c r="P99" s="7"/>
      <c r="Q99" s="133"/>
      <c r="R99" s="133"/>
      <c r="S99" s="11"/>
      <c r="T99" s="11"/>
      <c r="U99" s="11">
        <f>2/2*369.9+5/5*369.9+7/7*427.8+10/10*427.8</f>
        <v>1595.3999999999999</v>
      </c>
      <c r="V99" s="11"/>
      <c r="W99" s="11"/>
      <c r="X99" s="11"/>
      <c r="Y99" s="11"/>
      <c r="Z99" s="11">
        <f t="shared" si="38"/>
        <v>1595.3999999999999</v>
      </c>
      <c r="AA99" s="6"/>
      <c r="AB99" s="14">
        <f>3/3*369854+5/5*369854+7/7*427790+10/10*427789</f>
        <v>1595287</v>
      </c>
      <c r="AC99" s="72">
        <f t="shared" si="39"/>
        <v>0.9999291713676822</v>
      </c>
    </row>
    <row r="100" spans="1:29" s="21" customFormat="1" ht="12.75">
      <c r="A100" s="149" t="s">
        <v>134</v>
      </c>
      <c r="B100" s="133"/>
      <c r="C100" s="133"/>
      <c r="D100" s="133"/>
      <c r="E100" s="11"/>
      <c r="F100" s="11">
        <f>2/2*226.1</f>
        <v>226.1</v>
      </c>
      <c r="G100" s="11"/>
      <c r="H100" s="11"/>
      <c r="I100" s="11"/>
      <c r="J100" s="11"/>
      <c r="K100" s="11">
        <f t="shared" si="36"/>
        <v>226.1</v>
      </c>
      <c r="L100" s="7"/>
      <c r="M100" s="14">
        <f>6/6*226100</f>
        <v>226100</v>
      </c>
      <c r="N100" s="72">
        <f t="shared" si="37"/>
        <v>1</v>
      </c>
      <c r="O100" s="33" t="s">
        <v>164</v>
      </c>
      <c r="P100" s="7"/>
      <c r="Q100" s="133"/>
      <c r="R100" s="133"/>
      <c r="S100" s="11"/>
      <c r="T100" s="11"/>
      <c r="U100" s="11">
        <f>2/2*226.1</f>
        <v>226.1</v>
      </c>
      <c r="V100" s="11"/>
      <c r="W100" s="11"/>
      <c r="X100" s="11"/>
      <c r="Y100" s="11"/>
      <c r="Z100" s="11">
        <f t="shared" si="38"/>
        <v>226.1</v>
      </c>
      <c r="AA100" s="6"/>
      <c r="AB100" s="14">
        <f>3/3*226100</f>
        <v>226100</v>
      </c>
      <c r="AC100" s="72">
        <f t="shared" si="39"/>
        <v>1</v>
      </c>
    </row>
    <row r="101" spans="1:29" s="21" customFormat="1" ht="12.75">
      <c r="A101" s="149" t="s">
        <v>114</v>
      </c>
      <c r="B101" s="133"/>
      <c r="C101" s="133"/>
      <c r="D101" s="133"/>
      <c r="E101" s="11"/>
      <c r="F101" s="11">
        <f>4/4*160.6+9/9*(115.1+47)*0</f>
        <v>160.6</v>
      </c>
      <c r="G101" s="11"/>
      <c r="H101" s="11"/>
      <c r="I101" s="11"/>
      <c r="J101" s="11"/>
      <c r="K101" s="11">
        <f t="shared" si="36"/>
        <v>160.6</v>
      </c>
      <c r="L101" s="7"/>
      <c r="M101" s="14">
        <f>5/5*160600</f>
        <v>160600</v>
      </c>
      <c r="N101" s="72">
        <f t="shared" si="37"/>
        <v>1</v>
      </c>
      <c r="O101" s="33" t="s">
        <v>162</v>
      </c>
      <c r="P101" s="7"/>
      <c r="Q101" s="133"/>
      <c r="R101" s="133"/>
      <c r="S101" s="11"/>
      <c r="T101" s="11"/>
      <c r="U101" s="11">
        <f>4/4*160.6+9/9*(115.1+47)*0</f>
        <v>160.6</v>
      </c>
      <c r="V101" s="11"/>
      <c r="W101" s="11"/>
      <c r="X101" s="11"/>
      <c r="Y101" s="11"/>
      <c r="Z101" s="11">
        <f t="shared" si="38"/>
        <v>160.6</v>
      </c>
      <c r="AA101" s="6"/>
      <c r="AB101" s="14">
        <f>4/4*160600</f>
        <v>160600</v>
      </c>
      <c r="AC101" s="72">
        <f t="shared" si="39"/>
        <v>1</v>
      </c>
    </row>
    <row r="102" spans="1:29" s="21" customFormat="1" ht="22.5">
      <c r="A102" s="149" t="s">
        <v>190</v>
      </c>
      <c r="B102" s="133"/>
      <c r="C102" s="133"/>
      <c r="D102" s="133"/>
      <c r="E102" s="11"/>
      <c r="F102" s="11">
        <f>5/5*232</f>
        <v>232</v>
      </c>
      <c r="G102" s="11"/>
      <c r="H102" s="11"/>
      <c r="I102" s="11"/>
      <c r="J102" s="11"/>
      <c r="K102" s="11">
        <f>SUM(E102:J102)</f>
        <v>232</v>
      </c>
      <c r="L102" s="7"/>
      <c r="M102" s="14">
        <f>5/5*27526.26*0+6/6*238055.26*0+12/12*241455.26-16/16*(6055.26*0+9455.26)</f>
        <v>232000</v>
      </c>
      <c r="N102" s="72">
        <f>M102/(K102*1000)</f>
        <v>1</v>
      </c>
      <c r="O102" s="93" t="s">
        <v>165</v>
      </c>
      <c r="P102" s="7"/>
      <c r="Q102" s="133"/>
      <c r="R102" s="133"/>
      <c r="S102" s="11"/>
      <c r="T102" s="11"/>
      <c r="U102" s="11">
        <f>5/5*232</f>
        <v>232</v>
      </c>
      <c r="V102" s="11"/>
      <c r="W102" s="11"/>
      <c r="X102" s="11"/>
      <c r="Y102" s="11"/>
      <c r="Z102" s="11">
        <f>SUM(T102:Y102)</f>
        <v>232</v>
      </c>
      <c r="AA102" s="6"/>
      <c r="AB102" s="14">
        <f>5/5*232000</f>
        <v>232000</v>
      </c>
      <c r="AC102" s="72">
        <f>AB102/(Z102*1000)</f>
        <v>1</v>
      </c>
    </row>
    <row r="103" spans="1:29" s="21" customFormat="1" ht="21.75">
      <c r="A103" s="149" t="s">
        <v>191</v>
      </c>
      <c r="B103" s="133"/>
      <c r="C103" s="133"/>
      <c r="D103" s="133"/>
      <c r="E103" s="11"/>
      <c r="F103" s="11">
        <f>10/10*264.2</f>
        <v>264.2</v>
      </c>
      <c r="G103" s="11"/>
      <c r="H103" s="11"/>
      <c r="I103" s="11"/>
      <c r="J103" s="11"/>
      <c r="K103" s="11">
        <f>SUM(E103:J103)</f>
        <v>264.2</v>
      </c>
      <c r="L103" s="7"/>
      <c r="M103" s="14">
        <f>10/10*20802.9*0+11/11*254178.9-16/16*(117+448)*0+12/12*10021</f>
        <v>264199.9</v>
      </c>
      <c r="N103" s="72">
        <f t="shared" si="37"/>
        <v>0.9999996214988646</v>
      </c>
      <c r="O103" s="14"/>
      <c r="P103" s="7"/>
      <c r="Q103" s="133"/>
      <c r="R103" s="133"/>
      <c r="S103" s="11"/>
      <c r="T103" s="11"/>
      <c r="U103" s="11">
        <f>10/10*264.2</f>
        <v>264.2</v>
      </c>
      <c r="V103" s="11"/>
      <c r="W103" s="11"/>
      <c r="X103" s="11"/>
      <c r="Y103" s="11"/>
      <c r="Z103" s="11">
        <f>SUM(T103:Y103)</f>
        <v>264.2</v>
      </c>
      <c r="AA103" s="6"/>
      <c r="AB103" s="14">
        <f>10/10*264200</f>
        <v>264200</v>
      </c>
      <c r="AC103" s="72">
        <f>AB103/(Z103*1000)</f>
        <v>1</v>
      </c>
    </row>
    <row r="104" spans="1:29" s="21" customFormat="1" ht="12.75">
      <c r="A104" s="158" t="s">
        <v>75</v>
      </c>
      <c r="B104" s="159"/>
      <c r="C104" s="159"/>
      <c r="D104" s="159"/>
      <c r="E104" s="121"/>
      <c r="F104" s="121"/>
      <c r="G104" s="121"/>
      <c r="H104" s="121"/>
      <c r="I104" s="121"/>
      <c r="J104" s="121"/>
      <c r="K104" s="121"/>
      <c r="L104" s="7"/>
      <c r="M104" s="14"/>
      <c r="N104" s="72"/>
      <c r="O104" s="33"/>
      <c r="P104" s="7"/>
      <c r="Q104" s="133"/>
      <c r="R104" s="133"/>
      <c r="S104" s="11"/>
      <c r="T104" s="11"/>
      <c r="U104" s="11"/>
      <c r="V104" s="11"/>
      <c r="W104" s="11"/>
      <c r="X104" s="11"/>
      <c r="Y104" s="11"/>
      <c r="Z104" s="11"/>
      <c r="AA104" s="6"/>
      <c r="AB104" s="61">
        <f>SUM(AB105:AB119)-SUM(M105:M119)</f>
        <v>33214</v>
      </c>
      <c r="AC104" s="72"/>
    </row>
    <row r="105" spans="1:29" s="21" customFormat="1" ht="12.75">
      <c r="A105" s="160" t="s">
        <v>90</v>
      </c>
      <c r="B105" s="159"/>
      <c r="C105" s="159"/>
      <c r="D105" s="159"/>
      <c r="E105" s="121"/>
      <c r="F105" s="121">
        <f>2/2*4000</f>
        <v>4000</v>
      </c>
      <c r="G105" s="121"/>
      <c r="H105" s="121"/>
      <c r="I105" s="121"/>
      <c r="J105" s="121"/>
      <c r="K105" s="121">
        <f aca="true" t="shared" si="40" ref="K105:K110">SUM(E105:J105)</f>
        <v>4000</v>
      </c>
      <c r="L105" s="7"/>
      <c r="M105" s="98">
        <f>3/3*800000+6/6*800000+8/8*800000+9/9*600000+11/11*600000+12/12*400000</f>
        <v>4000000</v>
      </c>
      <c r="N105" s="72">
        <f t="shared" si="37"/>
        <v>1</v>
      </c>
      <c r="O105" s="33"/>
      <c r="P105" s="7"/>
      <c r="Q105" s="133"/>
      <c r="R105" s="133"/>
      <c r="S105" s="11"/>
      <c r="T105" s="11"/>
      <c r="U105" s="11">
        <f>2/2*4000</f>
        <v>4000</v>
      </c>
      <c r="V105" s="11"/>
      <c r="W105" s="11"/>
      <c r="X105" s="11"/>
      <c r="Y105" s="11"/>
      <c r="Z105" s="11">
        <f aca="true" t="shared" si="41" ref="Z105:Z114">SUM(T105:Y105)</f>
        <v>4000</v>
      </c>
      <c r="AA105" s="6"/>
      <c r="AB105" s="14">
        <f>3/3*4000000</f>
        <v>4000000</v>
      </c>
      <c r="AC105" s="72">
        <f t="shared" si="39"/>
        <v>1</v>
      </c>
    </row>
    <row r="106" spans="1:31" ht="23.25">
      <c r="A106" s="149" t="s">
        <v>192</v>
      </c>
      <c r="B106" s="133"/>
      <c r="C106" s="133"/>
      <c r="D106" s="133"/>
      <c r="E106" s="11"/>
      <c r="F106" s="11">
        <f>2/2*339.1</f>
        <v>339.1</v>
      </c>
      <c r="G106" s="11"/>
      <c r="J106" s="11"/>
      <c r="K106" s="11">
        <f t="shared" si="40"/>
        <v>339.1</v>
      </c>
      <c r="M106" s="98">
        <f>(7/7*(47500)+8/8*67600)+10/10*4351/4351*((65250+15000+5250+14250+4200+12000)*0+12/12*(141000+35000+13000+14000+21000))</f>
        <v>339100</v>
      </c>
      <c r="N106" s="72">
        <f t="shared" si="37"/>
        <v>1</v>
      </c>
      <c r="O106" s="93" t="s">
        <v>166</v>
      </c>
      <c r="Q106" s="133"/>
      <c r="R106" s="133"/>
      <c r="S106" s="11"/>
      <c r="T106" s="11"/>
      <c r="U106" s="11">
        <f>2/2*339.1</f>
        <v>339.1</v>
      </c>
      <c r="V106" s="11"/>
      <c r="W106" s="11"/>
      <c r="X106" s="11"/>
      <c r="Y106" s="11"/>
      <c r="Z106" s="11">
        <f t="shared" si="41"/>
        <v>339.1</v>
      </c>
      <c r="AB106" s="14">
        <f>3/3*339100</f>
        <v>339100</v>
      </c>
      <c r="AC106" s="72">
        <f t="shared" si="39"/>
        <v>1</v>
      </c>
      <c r="AD106" s="21"/>
      <c r="AE106" s="56"/>
    </row>
    <row r="107" spans="1:29" s="21" customFormat="1" ht="12.75">
      <c r="A107" s="149" t="s">
        <v>135</v>
      </c>
      <c r="B107" s="133"/>
      <c r="C107" s="133"/>
      <c r="D107" s="133"/>
      <c r="E107" s="11"/>
      <c r="F107" s="11">
        <f>(2/2*0+4/4)*51.7*(0+4/4)</f>
        <v>51.7</v>
      </c>
      <c r="G107" s="11"/>
      <c r="H107" s="11"/>
      <c r="I107" s="11"/>
      <c r="J107" s="11"/>
      <c r="K107" s="11">
        <f t="shared" si="40"/>
        <v>51.7</v>
      </c>
      <c r="L107" s="7"/>
      <c r="M107" s="98">
        <f>4/4*51700</f>
        <v>51700</v>
      </c>
      <c r="N107" s="72">
        <f t="shared" si="37"/>
        <v>1</v>
      </c>
      <c r="O107" s="33"/>
      <c r="P107" s="7"/>
      <c r="Q107" s="133"/>
      <c r="R107" s="133"/>
      <c r="S107" s="11"/>
      <c r="T107" s="11"/>
      <c r="U107" s="11">
        <f>(2/2*0+4/4)*51.7*(0+4/4)</f>
        <v>51.7</v>
      </c>
      <c r="V107" s="11"/>
      <c r="W107" s="11"/>
      <c r="X107" s="11"/>
      <c r="Y107" s="11"/>
      <c r="Z107" s="11">
        <f t="shared" si="41"/>
        <v>51.7</v>
      </c>
      <c r="AA107" s="6"/>
      <c r="AB107" s="14">
        <f>(3/3*0+4/4)*51700*(0+4/4)</f>
        <v>51700</v>
      </c>
      <c r="AC107" s="72">
        <f t="shared" si="39"/>
        <v>1</v>
      </c>
    </row>
    <row r="108" spans="1:29" s="21" customFormat="1" ht="24">
      <c r="A108" s="149" t="s">
        <v>136</v>
      </c>
      <c r="B108" s="133"/>
      <c r="C108" s="133"/>
      <c r="D108" s="133"/>
      <c r="E108" s="11"/>
      <c r="F108" s="11">
        <f>2/2*50</f>
        <v>50</v>
      </c>
      <c r="G108" s="11"/>
      <c r="H108" s="11"/>
      <c r="I108" s="11"/>
      <c r="J108" s="11"/>
      <c r="K108" s="11">
        <f t="shared" si="40"/>
        <v>50</v>
      </c>
      <c r="L108" s="7"/>
      <c r="M108" s="98">
        <f>3/3*24000*0+4/4*36200*0+5/5*37600+6/6*700+10/10*3000+12/12*8700</f>
        <v>50000</v>
      </c>
      <c r="N108" s="72">
        <f t="shared" si="37"/>
        <v>1</v>
      </c>
      <c r="O108" s="33"/>
      <c r="P108" s="7"/>
      <c r="Q108" s="133"/>
      <c r="R108" s="133"/>
      <c r="S108" s="11"/>
      <c r="T108" s="11"/>
      <c r="U108" s="11">
        <f>2/2*50</f>
        <v>50</v>
      </c>
      <c r="V108" s="11"/>
      <c r="W108" s="11"/>
      <c r="X108" s="11"/>
      <c r="Y108" s="11"/>
      <c r="Z108" s="11">
        <f t="shared" si="41"/>
        <v>50</v>
      </c>
      <c r="AA108" s="6"/>
      <c r="AB108" s="14">
        <f>3/3*50000</f>
        <v>50000</v>
      </c>
      <c r="AC108" s="72">
        <f t="shared" si="39"/>
        <v>1</v>
      </c>
    </row>
    <row r="109" spans="1:29" s="21" customFormat="1" ht="12.75">
      <c r="A109" s="149" t="s">
        <v>137</v>
      </c>
      <c r="B109" s="133"/>
      <c r="C109" s="133"/>
      <c r="D109" s="133"/>
      <c r="E109" s="11"/>
      <c r="F109" s="11">
        <f>2/2*99</f>
        <v>99</v>
      </c>
      <c r="G109" s="11"/>
      <c r="H109" s="11"/>
      <c r="I109" s="11"/>
      <c r="J109" s="11"/>
      <c r="K109" s="11">
        <f t="shared" si="40"/>
        <v>99</v>
      </c>
      <c r="L109" s="7"/>
      <c r="M109" s="98">
        <f>5/5*99000</f>
        <v>99000</v>
      </c>
      <c r="N109" s="72">
        <f t="shared" si="37"/>
        <v>1</v>
      </c>
      <c r="O109" s="33"/>
      <c r="P109" s="7"/>
      <c r="Q109" s="133"/>
      <c r="R109" s="133"/>
      <c r="S109" s="11"/>
      <c r="T109" s="11"/>
      <c r="U109" s="11">
        <f>2/2*99</f>
        <v>99</v>
      </c>
      <c r="V109" s="11"/>
      <c r="W109" s="11"/>
      <c r="X109" s="11"/>
      <c r="Y109" s="11"/>
      <c r="Z109" s="11">
        <f t="shared" si="41"/>
        <v>99</v>
      </c>
      <c r="AA109" s="6"/>
      <c r="AB109" s="14">
        <f>3/3*99000</f>
        <v>99000</v>
      </c>
      <c r="AC109" s="72">
        <f t="shared" si="39"/>
        <v>1</v>
      </c>
    </row>
    <row r="110" spans="1:29" s="21" customFormat="1" ht="12.75">
      <c r="A110" s="149" t="s">
        <v>138</v>
      </c>
      <c r="B110" s="133"/>
      <c r="C110" s="133"/>
      <c r="D110" s="133"/>
      <c r="E110" s="11"/>
      <c r="F110" s="11">
        <f>4/4*105</f>
        <v>105</v>
      </c>
      <c r="G110" s="11"/>
      <c r="H110" s="11"/>
      <c r="I110" s="11"/>
      <c r="J110" s="11"/>
      <c r="K110" s="11">
        <f t="shared" si="40"/>
        <v>105</v>
      </c>
      <c r="L110" s="7"/>
      <c r="M110" s="98">
        <f>3/3*32646*0+9/9*47926*0+11/11*53096*0+12/12*71786</f>
        <v>71786</v>
      </c>
      <c r="N110" s="72">
        <f t="shared" si="37"/>
        <v>0.6836761904761904</v>
      </c>
      <c r="O110" s="33"/>
      <c r="P110" s="7"/>
      <c r="Q110" s="133"/>
      <c r="R110" s="133"/>
      <c r="S110" s="11"/>
      <c r="T110" s="11"/>
      <c r="U110" s="11">
        <f>4/4*105</f>
        <v>105</v>
      </c>
      <c r="V110" s="11"/>
      <c r="W110" s="11"/>
      <c r="X110" s="11"/>
      <c r="Y110" s="11"/>
      <c r="Z110" s="11">
        <f t="shared" si="41"/>
        <v>105</v>
      </c>
      <c r="AA110" s="7"/>
      <c r="AB110" s="14">
        <f>4/4*105000</f>
        <v>105000</v>
      </c>
      <c r="AC110" s="72">
        <f t="shared" si="39"/>
        <v>1</v>
      </c>
    </row>
    <row r="111" spans="1:29" s="21" customFormat="1" ht="12.75">
      <c r="A111" s="149" t="s">
        <v>111</v>
      </c>
      <c r="B111" s="133"/>
      <c r="C111" s="133"/>
      <c r="D111" s="133"/>
      <c r="E111" s="11"/>
      <c r="F111" s="11">
        <f>4/4*3000</f>
        <v>3000</v>
      </c>
      <c r="G111" s="11"/>
      <c r="H111" s="11"/>
      <c r="I111" s="11"/>
      <c r="J111" s="11"/>
      <c r="K111" s="11">
        <f aca="true" t="shared" si="42" ref="K111:K119">SUM(E111:J111)</f>
        <v>3000</v>
      </c>
      <c r="L111" s="7"/>
      <c r="M111" s="14">
        <f>351983.6*0+7/7*1809015.6*0+8/8*1982572.4*0+9/9*2356269.4*0+10/10*(3098291.8*0+3000000)</f>
        <v>3000000</v>
      </c>
      <c r="N111" s="72">
        <f t="shared" si="37"/>
        <v>1</v>
      </c>
      <c r="O111" s="33"/>
      <c r="P111" s="69"/>
      <c r="Q111" s="133"/>
      <c r="R111" s="133"/>
      <c r="S111" s="11"/>
      <c r="T111" s="11"/>
      <c r="U111" s="11">
        <f>4/4*3000</f>
        <v>3000</v>
      </c>
      <c r="V111" s="11"/>
      <c r="W111" s="11"/>
      <c r="X111" s="11"/>
      <c r="Y111" s="11"/>
      <c r="Z111" s="11">
        <f t="shared" si="41"/>
        <v>3000</v>
      </c>
      <c r="AA111" s="6"/>
      <c r="AB111" s="14">
        <f>5/5*3000000</f>
        <v>3000000</v>
      </c>
      <c r="AC111" s="72">
        <f t="shared" si="39"/>
        <v>1</v>
      </c>
    </row>
    <row r="112" spans="1:29" s="21" customFormat="1" ht="12.75">
      <c r="A112" s="149" t="s">
        <v>112</v>
      </c>
      <c r="B112" s="133"/>
      <c r="C112" s="133"/>
      <c r="D112" s="133"/>
      <c r="E112" s="11"/>
      <c r="F112" s="11">
        <f>4/4*6000</f>
        <v>6000</v>
      </c>
      <c r="G112" s="11"/>
      <c r="H112" s="11"/>
      <c r="I112" s="11">
        <f>(6157.0178*1.2+82360/1000)+0.0186-6000-1470.8*9/9</f>
        <v>-4.0000000581130735E-05</v>
      </c>
      <c r="J112" s="11"/>
      <c r="K112" s="11">
        <f t="shared" si="42"/>
        <v>5999.999959999999</v>
      </c>
      <c r="L112" s="7"/>
      <c r="M112" s="57">
        <f>6/6*49000*(0+6/6)*0+7/7*82360*0+8/8*126030*0+9/9*137430*0+10/10*139238*0+11/11*2651730*0+12/12*(7247089-16/16*(256079.56+99/99*991009.44))</f>
        <v>6000000</v>
      </c>
      <c r="N112" s="72">
        <f t="shared" si="37"/>
        <v>1.0000000066666668</v>
      </c>
      <c r="O112" s="33"/>
      <c r="P112" s="81"/>
      <c r="Q112" s="133"/>
      <c r="R112" s="133"/>
      <c r="S112" s="11"/>
      <c r="T112" s="11"/>
      <c r="U112" s="11">
        <f>4/4*6000</f>
        <v>6000</v>
      </c>
      <c r="V112" s="11"/>
      <c r="W112" s="11"/>
      <c r="X112" s="11"/>
      <c r="Y112" s="11"/>
      <c r="Z112" s="11">
        <f t="shared" si="41"/>
        <v>6000</v>
      </c>
      <c r="AA112" s="6"/>
      <c r="AB112" s="14">
        <f>5/5*6000000</f>
        <v>6000000</v>
      </c>
      <c r="AC112" s="72">
        <f t="shared" si="39"/>
        <v>1</v>
      </c>
    </row>
    <row r="113" spans="1:29" s="21" customFormat="1" ht="12.75">
      <c r="A113" s="149" t="s">
        <v>113</v>
      </c>
      <c r="B113" s="133"/>
      <c r="C113" s="133"/>
      <c r="D113" s="133"/>
      <c r="E113" s="11"/>
      <c r="F113" s="11">
        <f>4/4*200</f>
        <v>200</v>
      </c>
      <c r="G113" s="11"/>
      <c r="H113" s="11">
        <f>(694.335+0.665)-200-495*5/5</f>
        <v>0</v>
      </c>
      <c r="I113" s="11">
        <f>(694.335+0.665)-200-495*5/5*9/9</f>
        <v>0</v>
      </c>
      <c r="J113" s="11"/>
      <c r="K113" s="11">
        <f t="shared" si="42"/>
        <v>200</v>
      </c>
      <c r="L113" s="7"/>
      <c r="M113" s="14">
        <f>6/6*4800*0+9/9*607921-407921</f>
        <v>200000</v>
      </c>
      <c r="N113" s="72">
        <f t="shared" si="37"/>
        <v>1</v>
      </c>
      <c r="O113" s="33"/>
      <c r="P113" s="81"/>
      <c r="Q113" s="133"/>
      <c r="R113" s="133"/>
      <c r="S113" s="11"/>
      <c r="T113" s="11"/>
      <c r="U113" s="11">
        <f>4/4*200</f>
        <v>200</v>
      </c>
      <c r="V113" s="11"/>
      <c r="W113" s="11"/>
      <c r="X113" s="11"/>
      <c r="Y113" s="11"/>
      <c r="Z113" s="11">
        <f t="shared" si="41"/>
        <v>200</v>
      </c>
      <c r="AA113" s="6"/>
      <c r="AB113" s="14">
        <f>5/5*200000</f>
        <v>200000</v>
      </c>
      <c r="AC113" s="72">
        <f t="shared" si="39"/>
        <v>1</v>
      </c>
    </row>
    <row r="114" spans="1:29" s="21" customFormat="1" ht="24">
      <c r="A114" s="149" t="s">
        <v>126</v>
      </c>
      <c r="B114" s="133"/>
      <c r="C114" s="133"/>
      <c r="D114" s="133"/>
      <c r="E114" s="11"/>
      <c r="F114" s="11">
        <f>4/4*800</f>
        <v>800</v>
      </c>
      <c r="G114" s="11"/>
      <c r="H114" s="11">
        <f>(1268.837+1.163)-800-470*5/5</f>
        <v>0</v>
      </c>
      <c r="I114" s="11">
        <f>(1268.837+1.163)-800-470*5/5*9/9</f>
        <v>0</v>
      </c>
      <c r="J114" s="11"/>
      <c r="K114" s="11">
        <f t="shared" si="42"/>
        <v>800</v>
      </c>
      <c r="L114" s="7"/>
      <c r="M114" s="14">
        <f>6/6*23669.6*0+7/7*33029.6*0+9/9*1205448.6-405448.6</f>
        <v>800000.0000000001</v>
      </c>
      <c r="N114" s="72">
        <f t="shared" si="37"/>
        <v>1.0000000000000002</v>
      </c>
      <c r="O114" s="33"/>
      <c r="P114" s="7" t="s">
        <v>171</v>
      </c>
      <c r="Q114" s="133"/>
      <c r="R114" s="133"/>
      <c r="S114" s="11"/>
      <c r="T114" s="11"/>
      <c r="U114" s="11">
        <f>4/4*800</f>
        <v>800</v>
      </c>
      <c r="V114" s="11"/>
      <c r="W114" s="11"/>
      <c r="X114" s="11"/>
      <c r="Y114" s="11"/>
      <c r="Z114" s="11">
        <f t="shared" si="41"/>
        <v>800</v>
      </c>
      <c r="AA114" s="6"/>
      <c r="AB114" s="14">
        <f>5/5*800000</f>
        <v>800000</v>
      </c>
      <c r="AC114" s="72">
        <f t="shared" si="39"/>
        <v>1</v>
      </c>
    </row>
    <row r="115" spans="1:29" s="21" customFormat="1" ht="12.75">
      <c r="A115" s="149" t="s">
        <v>139</v>
      </c>
      <c r="B115" s="133"/>
      <c r="C115" s="133"/>
      <c r="D115" s="133"/>
      <c r="E115" s="11"/>
      <c r="F115" s="11">
        <f>6/6*5000</f>
        <v>5000</v>
      </c>
      <c r="G115" s="11"/>
      <c r="H115" s="11"/>
      <c r="I115" s="11"/>
      <c r="J115" s="11"/>
      <c r="K115" s="11">
        <f t="shared" si="42"/>
        <v>5000</v>
      </c>
      <c r="L115" s="7"/>
      <c r="M115" s="14">
        <f>7/7*9600*0+9/9*1028818.45*0+10/10*3166125.78*0+12/12*(5128370.95-16/16*128370.95)</f>
        <v>5000000</v>
      </c>
      <c r="N115" s="72">
        <f t="shared" si="37"/>
        <v>1</v>
      </c>
      <c r="O115" s="33"/>
      <c r="P115" s="14">
        <f>M97+M105+M106+M107+M108+M109+M110+M116+M117</f>
        <v>5047586</v>
      </c>
      <c r="Q115" s="133"/>
      <c r="R115" s="133"/>
      <c r="S115" s="11"/>
      <c r="T115" s="11"/>
      <c r="U115" s="11">
        <f>6/6*5000</f>
        <v>5000</v>
      </c>
      <c r="V115" s="11"/>
      <c r="W115" s="11"/>
      <c r="X115" s="11"/>
      <c r="Y115" s="11"/>
      <c r="Z115" s="11">
        <f aca="true" t="shared" si="43" ref="Z115:Z120">SUM(T115:Y115)</f>
        <v>5000</v>
      </c>
      <c r="AA115" s="6"/>
      <c r="AB115" s="14">
        <f>7/7*5000000</f>
        <v>5000000</v>
      </c>
      <c r="AC115" s="72">
        <f t="shared" si="39"/>
        <v>1</v>
      </c>
    </row>
    <row r="116" spans="1:29" s="21" customFormat="1" ht="12.75">
      <c r="A116" s="149" t="s">
        <v>143</v>
      </c>
      <c r="B116" s="133"/>
      <c r="C116" s="133"/>
      <c r="D116" s="133"/>
      <c r="E116" s="11"/>
      <c r="F116" s="11">
        <f>9/9*350</f>
        <v>350</v>
      </c>
      <c r="G116" s="11"/>
      <c r="H116" s="11"/>
      <c r="I116" s="11"/>
      <c r="J116" s="11"/>
      <c r="K116" s="11">
        <f t="shared" si="42"/>
        <v>350</v>
      </c>
      <c r="L116" s="7"/>
      <c r="M116" s="98">
        <f>8/8*240000*0+9/9*350000</f>
        <v>350000</v>
      </c>
      <c r="N116" s="72">
        <f>M116/(K116*1000)</f>
        <v>1</v>
      </c>
      <c r="O116" s="33"/>
      <c r="P116" s="7" t="s">
        <v>170</v>
      </c>
      <c r="Q116" s="133"/>
      <c r="R116" s="133"/>
      <c r="S116" s="11"/>
      <c r="T116" s="11"/>
      <c r="U116" s="11">
        <f>9/9*350</f>
        <v>350</v>
      </c>
      <c r="V116" s="11"/>
      <c r="W116" s="11"/>
      <c r="X116" s="11"/>
      <c r="Y116" s="11"/>
      <c r="Z116" s="11">
        <f t="shared" si="43"/>
        <v>350</v>
      </c>
      <c r="AA116" s="6"/>
      <c r="AB116" s="14">
        <f>9/9*350000</f>
        <v>350000</v>
      </c>
      <c r="AC116" s="72">
        <f t="shared" si="39"/>
        <v>1</v>
      </c>
    </row>
    <row r="117" spans="1:29" s="21" customFormat="1" ht="12.75">
      <c r="A117" s="149" t="s">
        <v>144</v>
      </c>
      <c r="B117" s="133"/>
      <c r="C117" s="133"/>
      <c r="D117" s="133"/>
      <c r="E117" s="11"/>
      <c r="F117" s="11">
        <f>9/9*62</f>
        <v>62</v>
      </c>
      <c r="G117" s="11"/>
      <c r="H117" s="11"/>
      <c r="I117" s="11"/>
      <c r="J117" s="11"/>
      <c r="K117" s="11">
        <f t="shared" si="42"/>
        <v>62</v>
      </c>
      <c r="L117" s="7"/>
      <c r="M117" s="98">
        <f>9/9*(39000+(10000*0+12/12*16895)+3000*0*12/12)+11/11*4277*0*12/12+12/12*6105</f>
        <v>62000</v>
      </c>
      <c r="N117" s="72">
        <f>M117/(K117*1000)</f>
        <v>1</v>
      </c>
      <c r="O117" s="33"/>
      <c r="P117" s="14">
        <f>M111+M112+M113+M114+M115</f>
        <v>15000000</v>
      </c>
      <c r="Q117" s="133"/>
      <c r="R117" s="133"/>
      <c r="S117" s="11"/>
      <c r="T117" s="11"/>
      <c r="U117" s="11">
        <f>9/9*62</f>
        <v>62</v>
      </c>
      <c r="V117" s="11"/>
      <c r="W117" s="11"/>
      <c r="X117" s="11"/>
      <c r="Y117" s="11"/>
      <c r="Z117" s="11">
        <f t="shared" si="43"/>
        <v>62</v>
      </c>
      <c r="AA117" s="6"/>
      <c r="AB117" s="14">
        <f>9/9*62000</f>
        <v>62000</v>
      </c>
      <c r="AC117" s="72">
        <f t="shared" si="39"/>
        <v>1</v>
      </c>
    </row>
    <row r="118" spans="1:29" s="21" customFormat="1" ht="12.75">
      <c r="A118" s="149" t="s">
        <v>193</v>
      </c>
      <c r="B118" s="133"/>
      <c r="C118" s="133"/>
      <c r="D118" s="133"/>
      <c r="E118" s="11"/>
      <c r="F118" s="11">
        <f>4/4*160.6*0+9/9*(115.1+47)</f>
        <v>162.1</v>
      </c>
      <c r="G118" s="11"/>
      <c r="H118" s="11"/>
      <c r="I118" s="11"/>
      <c r="J118" s="11"/>
      <c r="K118" s="11">
        <f t="shared" si="42"/>
        <v>162.1</v>
      </c>
      <c r="L118" s="7"/>
      <c r="M118" s="14">
        <f>5/5*160600*0+12/12*(162100*0+(322700-160600))</f>
        <v>162100</v>
      </c>
      <c r="N118" s="72">
        <f>M118/(K118*1000)</f>
        <v>1</v>
      </c>
      <c r="O118" s="33"/>
      <c r="P118" s="7" t="s">
        <v>169</v>
      </c>
      <c r="Q118" s="133"/>
      <c r="R118" s="133"/>
      <c r="S118" s="11"/>
      <c r="T118" s="11"/>
      <c r="U118" s="11">
        <f>4/4*160.6*0+9/9*(115.1+47)</f>
        <v>162.1</v>
      </c>
      <c r="V118" s="11"/>
      <c r="W118" s="11"/>
      <c r="X118" s="11"/>
      <c r="Y118" s="11"/>
      <c r="Z118" s="11">
        <f t="shared" si="43"/>
        <v>162.1</v>
      </c>
      <c r="AA118" s="6"/>
      <c r="AB118" s="14">
        <f>4/4*160600*0+9/9*162100</f>
        <v>162100</v>
      </c>
      <c r="AC118" s="72">
        <f>AB118/(Z118*1000)</f>
        <v>1</v>
      </c>
    </row>
    <row r="119" spans="1:29" s="21" customFormat="1" ht="12.75">
      <c r="A119" s="149" t="s">
        <v>194</v>
      </c>
      <c r="B119" s="133"/>
      <c r="C119" s="133"/>
      <c r="D119" s="133"/>
      <c r="E119" s="11"/>
      <c r="F119" s="11">
        <f>9/9*71.9</f>
        <v>71.9</v>
      </c>
      <c r="G119" s="11"/>
      <c r="H119" s="11"/>
      <c r="I119" s="11"/>
      <c r="J119" s="11"/>
      <c r="K119" s="11">
        <f t="shared" si="42"/>
        <v>71.9</v>
      </c>
      <c r="L119" s="7"/>
      <c r="M119" s="14">
        <f>12/12*71900</f>
        <v>71900</v>
      </c>
      <c r="N119" s="72">
        <f>M119/(K119*1000)</f>
        <v>1</v>
      </c>
      <c r="O119" s="33"/>
      <c r="P119" s="14">
        <f>M119+M118+M101</f>
        <v>394600</v>
      </c>
      <c r="Q119" s="133"/>
      <c r="R119" s="133"/>
      <c r="S119" s="11"/>
      <c r="T119" s="11"/>
      <c r="U119" s="11">
        <f>9/9*71.9</f>
        <v>71.9</v>
      </c>
      <c r="V119" s="11"/>
      <c r="W119" s="11"/>
      <c r="X119" s="11"/>
      <c r="Y119" s="11"/>
      <c r="Z119" s="11">
        <f t="shared" si="43"/>
        <v>71.9</v>
      </c>
      <c r="AA119" s="6"/>
      <c r="AB119" s="14">
        <f>9/9*71900</f>
        <v>71900</v>
      </c>
      <c r="AC119" s="72">
        <f>AB119/(Z119*1000)</f>
        <v>1</v>
      </c>
    </row>
    <row r="120" spans="1:31" s="21" customFormat="1" ht="12.75">
      <c r="A120" s="149" t="s">
        <v>176</v>
      </c>
      <c r="B120" s="133"/>
      <c r="C120" s="133"/>
      <c r="D120" s="133"/>
      <c r="E120" s="11"/>
      <c r="F120" s="11">
        <f>12/12*20.7</f>
        <v>20.7</v>
      </c>
      <c r="G120" s="11"/>
      <c r="H120" s="11"/>
      <c r="I120" s="11"/>
      <c r="J120" s="11"/>
      <c r="K120" s="11">
        <f>SUM(E120:J120)</f>
        <v>20.7</v>
      </c>
      <c r="L120" s="7"/>
      <c r="M120" s="14">
        <f>12/12*20713</f>
        <v>20713</v>
      </c>
      <c r="N120" s="72"/>
      <c r="O120" s="33"/>
      <c r="P120" s="14">
        <f>56815854.59-9835956.28-M121</f>
        <v>0</v>
      </c>
      <c r="Q120" s="133"/>
      <c r="R120" s="133"/>
      <c r="S120" s="11"/>
      <c r="T120" s="11"/>
      <c r="U120" s="11">
        <f>12/12*20.7</f>
        <v>20.7</v>
      </c>
      <c r="V120" s="11"/>
      <c r="W120" s="11"/>
      <c r="X120" s="11"/>
      <c r="Y120" s="11"/>
      <c r="Z120" s="11">
        <f t="shared" si="43"/>
        <v>20.7</v>
      </c>
      <c r="AA120" s="7"/>
      <c r="AB120" s="14">
        <f>12/12*20713</f>
        <v>20713</v>
      </c>
      <c r="AC120" s="72">
        <f>AB120/(Z120*1000)</f>
        <v>1.0006280193236714</v>
      </c>
      <c r="AE120" s="21" t="s">
        <v>177</v>
      </c>
    </row>
    <row r="121" spans="1:29" s="114" customFormat="1" ht="12.75">
      <c r="A121" s="51" t="s">
        <v>56</v>
      </c>
      <c r="B121" s="4">
        <f>SUM(B27:B120)/2</f>
        <v>144773</v>
      </c>
      <c r="C121" s="4">
        <f>SUM(C27:C120)/2</f>
        <v>176729.94999999998</v>
      </c>
      <c r="D121" s="4">
        <f>SUM(D27:D120)/2</f>
        <v>169115.34999999998</v>
      </c>
      <c r="E121" s="5">
        <f>SUM(E95:E120)</f>
        <v>0</v>
      </c>
      <c r="F121" s="5">
        <f>SUM(F95:F120)</f>
        <v>47758.799999999996</v>
      </c>
      <c r="G121" s="5">
        <f>SUM(G95:G120)</f>
        <v>0</v>
      </c>
      <c r="H121" s="5">
        <f>SUM(H95:H120)</f>
        <v>0</v>
      </c>
      <c r="I121" s="5">
        <f>SUM(I95:I120)</f>
        <v>-4.0000000581130735E-05</v>
      </c>
      <c r="J121" s="5"/>
      <c r="K121" s="5">
        <f>SUM(K95:K120)</f>
        <v>47758.79996</v>
      </c>
      <c r="L121" s="117"/>
      <c r="M121" s="15">
        <f>SUM(M95:M120)</f>
        <v>46979898.31</v>
      </c>
      <c r="N121" s="75">
        <f>M121/(K121*1000)</f>
        <v>0.9836909291972924</v>
      </c>
      <c r="O121" s="35"/>
      <c r="P121" s="31"/>
      <c r="Q121" s="17"/>
      <c r="R121" s="17"/>
      <c r="S121" s="10"/>
      <c r="T121" s="5">
        <f aca="true" t="shared" si="44" ref="T121:Z121">SUM(T95:T120)</f>
        <v>0</v>
      </c>
      <c r="U121" s="5">
        <f t="shared" si="44"/>
        <v>47758.799999999996</v>
      </c>
      <c r="V121" s="5">
        <f t="shared" si="44"/>
        <v>0</v>
      </c>
      <c r="W121" s="5">
        <f t="shared" si="44"/>
        <v>0</v>
      </c>
      <c r="X121" s="5">
        <f t="shared" si="44"/>
        <v>0</v>
      </c>
      <c r="Y121" s="5">
        <f t="shared" si="44"/>
        <v>0</v>
      </c>
      <c r="Z121" s="5">
        <f t="shared" si="44"/>
        <v>47758.799999999996</v>
      </c>
      <c r="AA121" s="6"/>
      <c r="AB121" s="60">
        <f>SUM(AB95:AB103,AB105:AB120)</f>
        <v>47158700</v>
      </c>
      <c r="AC121" s="75">
        <f>AB121/(Z121*1000)</f>
        <v>0.9874347764181681</v>
      </c>
    </row>
    <row r="122" spans="1:29" s="21" customFormat="1" ht="12.75">
      <c r="A122" s="1"/>
      <c r="B122" s="17"/>
      <c r="C122" s="17"/>
      <c r="D122" s="17"/>
      <c r="E122" s="10"/>
      <c r="F122" s="10"/>
      <c r="G122" s="10"/>
      <c r="H122" s="11"/>
      <c r="I122" s="11"/>
      <c r="J122" s="10"/>
      <c r="K122" s="10"/>
      <c r="L122" s="7"/>
      <c r="M122" s="14"/>
      <c r="N122" s="72"/>
      <c r="O122" s="33"/>
      <c r="P122" s="14"/>
      <c r="Q122" s="17"/>
      <c r="R122" s="17"/>
      <c r="S122" s="10"/>
      <c r="T122" s="10"/>
      <c r="U122" s="10"/>
      <c r="V122" s="10"/>
      <c r="W122" s="10"/>
      <c r="X122" s="10"/>
      <c r="Y122" s="10"/>
      <c r="Z122" s="14"/>
      <c r="AA122" s="6"/>
      <c r="AB122" s="14"/>
      <c r="AC122" s="72"/>
    </row>
    <row r="123" spans="1:29" s="21" customFormat="1" ht="12.75">
      <c r="A123" s="52" t="s">
        <v>58</v>
      </c>
      <c r="B123" s="25">
        <f>SUM(B29:B122)/2</f>
        <v>216659.5</v>
      </c>
      <c r="C123" s="25">
        <f>SUM(C29:C122)/2</f>
        <v>264512.425</v>
      </c>
      <c r="D123" s="25">
        <f>SUM(D29:D122)/2</f>
        <v>253090.07499999998</v>
      </c>
      <c r="E123" s="26">
        <f>E91+E121</f>
        <v>81875</v>
      </c>
      <c r="F123" s="26">
        <f>F91+F121</f>
        <v>47758.799999999996</v>
      </c>
      <c r="G123" s="26">
        <f>G91+G121</f>
        <v>2341</v>
      </c>
      <c r="H123" s="90">
        <f>H91+H121</f>
        <v>10798.9</v>
      </c>
      <c r="I123" s="90">
        <f>I91+I121</f>
        <v>-757.9000400000007</v>
      </c>
      <c r="J123" s="90"/>
      <c r="K123" s="90">
        <f>K91+K121</f>
        <v>142015.79996</v>
      </c>
      <c r="L123" s="150"/>
      <c r="M123" s="91">
        <f>M91+M121</f>
        <v>131499259.09</v>
      </c>
      <c r="N123" s="76">
        <f>M123/(K123*1000)</f>
        <v>0.9259480925857398</v>
      </c>
      <c r="O123" s="36"/>
      <c r="P123" s="14"/>
      <c r="Q123" s="17"/>
      <c r="R123" s="17"/>
      <c r="S123" s="10"/>
      <c r="T123" s="26">
        <f aca="true" t="shared" si="45" ref="T123:Z123">T91+T121</f>
        <v>81875.00000496913</v>
      </c>
      <c r="U123" s="26">
        <f t="shared" si="45"/>
        <v>47758.799999999996</v>
      </c>
      <c r="V123" s="26">
        <f t="shared" si="45"/>
        <v>2341</v>
      </c>
      <c r="W123" s="26">
        <f t="shared" si="45"/>
        <v>10048.9</v>
      </c>
      <c r="X123" s="26">
        <f t="shared" si="45"/>
        <v>-757.9000000000001</v>
      </c>
      <c r="Y123" s="26">
        <f t="shared" si="45"/>
        <v>0</v>
      </c>
      <c r="Z123" s="26">
        <f t="shared" si="45"/>
        <v>141265.80000496912</v>
      </c>
      <c r="AA123" s="120"/>
      <c r="AB123" s="62">
        <f>AB91+AB121</f>
        <v>132305516.09</v>
      </c>
      <c r="AC123" s="76">
        <f>AB123/(Z123*1000)</f>
        <v>0.9365714566819858</v>
      </c>
    </row>
    <row r="124" spans="1:29" s="21" customFormat="1" ht="12.75">
      <c r="A124" s="1"/>
      <c r="B124" s="17"/>
      <c r="C124" s="17"/>
      <c r="D124" s="17"/>
      <c r="E124" s="10"/>
      <c r="F124" s="10"/>
      <c r="G124" s="12"/>
      <c r="H124" s="81"/>
      <c r="I124" s="11"/>
      <c r="J124" s="10"/>
      <c r="K124" s="10"/>
      <c r="L124" s="7"/>
      <c r="M124" s="14"/>
      <c r="N124" s="72"/>
      <c r="O124" s="33"/>
      <c r="P124" s="14"/>
      <c r="Q124" s="17"/>
      <c r="R124" s="17"/>
      <c r="S124" s="10"/>
      <c r="T124" s="59">
        <f>T123-E123</f>
        <v>4.969129804521799E-06</v>
      </c>
      <c r="U124" s="59">
        <f>U123-F123</f>
        <v>0</v>
      </c>
      <c r="V124" s="59">
        <f>V123-G123</f>
        <v>0</v>
      </c>
      <c r="W124" s="59">
        <f>W123-H123</f>
        <v>-750</v>
      </c>
      <c r="X124" s="59">
        <f>X123-I123</f>
        <v>4.0000000581130735E-05</v>
      </c>
      <c r="Y124" s="10"/>
      <c r="Z124" s="59">
        <f>Z123-K123</f>
        <v>-749.9999550308858</v>
      </c>
      <c r="AA124" s="6"/>
      <c r="AB124" s="61">
        <f>AB92+AB94+AB104</f>
        <v>806257.0000000037</v>
      </c>
      <c r="AC124" s="72"/>
    </row>
    <row r="125" spans="1:29" s="21" customFormat="1" ht="12.75">
      <c r="A125" s="94"/>
      <c r="B125" s="17"/>
      <c r="C125" s="17"/>
      <c r="D125" s="17"/>
      <c r="E125" s="10"/>
      <c r="F125" s="10"/>
      <c r="G125" s="10"/>
      <c r="H125" s="11"/>
      <c r="I125" s="11"/>
      <c r="J125" s="10"/>
      <c r="K125" s="14"/>
      <c r="L125" s="7"/>
      <c r="M125" s="14"/>
      <c r="N125" s="72"/>
      <c r="O125" s="33"/>
      <c r="P125" s="7"/>
      <c r="Q125" s="17"/>
      <c r="R125" s="17"/>
      <c r="S125" s="10"/>
      <c r="T125" s="10"/>
      <c r="U125" s="10"/>
      <c r="V125" s="10"/>
      <c r="W125" s="10"/>
      <c r="X125" s="10"/>
      <c r="Y125" s="10"/>
      <c r="Z125" s="10"/>
      <c r="AA125" s="6"/>
      <c r="AB125" s="28"/>
      <c r="AC125" s="72"/>
    </row>
    <row r="126" spans="1:12" ht="12.75">
      <c r="A126" s="94"/>
      <c r="K126" s="14"/>
      <c r="L126" s="14"/>
    </row>
    <row r="127" spans="11:29" ht="12.75">
      <c r="K127" s="14"/>
      <c r="Z127" s="151" t="s">
        <v>86</v>
      </c>
      <c r="AB127" s="14">
        <f>AB123-M123</f>
        <v>806257</v>
      </c>
      <c r="AC127" s="14">
        <f>AB127-M125</f>
        <v>806257</v>
      </c>
    </row>
    <row r="128" spans="11:28" ht="12.75">
      <c r="K128" s="14"/>
      <c r="W128" s="14" t="s">
        <v>140</v>
      </c>
      <c r="Z128" s="151">
        <f>Z123-K123</f>
        <v>-749.9999550308858</v>
      </c>
      <c r="AB128" s="14">
        <f>4/4*(65680036.61-62279430.44)*0+5/5*(51838405.59-38456958.82)*0+6/6*(64964338.92-59298067.15)*0+7/7*(77404600.17-59298067.15)*0+8/8*(93897855.45-72547372.53)*0+10/10*(109477023.94-102290713.11)*0+11/11*(115937413.94-110372126.73)*0+12/12*(253550122.37-252643887.37)-AB127</f>
        <v>99978</v>
      </c>
    </row>
    <row r="129" ht="12.75">
      <c r="K129" s="14"/>
    </row>
    <row r="130" spans="11:28" ht="12.75">
      <c r="K130" s="14"/>
      <c r="Z130" s="152" t="s">
        <v>154</v>
      </c>
      <c r="AA130" s="153"/>
      <c r="AB130" s="151">
        <f>AB127-(AE104+AE105+AE102)</f>
        <v>806257</v>
      </c>
    </row>
    <row r="131" spans="11:31" ht="12.75">
      <c r="K131" s="14"/>
      <c r="W131" s="64"/>
      <c r="X131" s="64"/>
      <c r="Y131" s="64"/>
      <c r="Z131" s="63"/>
      <c r="AA131" s="65"/>
      <c r="AB131" s="154">
        <f>AB130-AB92</f>
        <v>178801.68999999762</v>
      </c>
      <c r="AC131" s="78"/>
      <c r="AD131" s="67"/>
      <c r="AE131" s="67"/>
    </row>
    <row r="132" spans="23:31" ht="12.75">
      <c r="W132" s="64"/>
      <c r="X132" s="64"/>
      <c r="Y132" s="64"/>
      <c r="Z132" s="63"/>
      <c r="AA132" s="64"/>
      <c r="AB132" s="66"/>
      <c r="AC132" s="78"/>
      <c r="AD132" s="67"/>
      <c r="AE132" s="67"/>
    </row>
    <row r="133" spans="23:31" ht="36.75" customHeight="1">
      <c r="W133" s="64"/>
      <c r="X133" s="64"/>
      <c r="Y133" s="64"/>
      <c r="Z133" s="63"/>
      <c r="AA133" s="64"/>
      <c r="AB133" s="68"/>
      <c r="AC133" s="79"/>
      <c r="AD133" s="79"/>
      <c r="AE133" s="79"/>
    </row>
    <row r="134" spans="23:31" ht="24.75" customHeight="1">
      <c r="W134" s="64"/>
      <c r="X134" s="64"/>
      <c r="Y134" s="64"/>
      <c r="Z134" s="63"/>
      <c r="AA134" s="65"/>
      <c r="AB134" s="69"/>
      <c r="AC134" s="80"/>
      <c r="AD134" s="80"/>
      <c r="AE134" s="80"/>
    </row>
    <row r="135" spans="23:31" ht="12.75">
      <c r="W135" s="64"/>
      <c r="X135" s="64"/>
      <c r="Y135" s="64"/>
      <c r="Z135" s="64"/>
      <c r="AA135" s="65"/>
      <c r="AB135" s="70"/>
      <c r="AC135" s="78"/>
      <c r="AD135" s="67"/>
      <c r="AE135" s="67"/>
    </row>
    <row r="136" spans="23:31" ht="12.75">
      <c r="W136" s="64"/>
      <c r="X136" s="64"/>
      <c r="Y136" s="64"/>
      <c r="Z136" s="64"/>
      <c r="AA136" s="65"/>
      <c r="AB136" s="70"/>
      <c r="AC136" s="78"/>
      <c r="AD136" s="67"/>
      <c r="AE136" s="67"/>
    </row>
    <row r="137" spans="23:31" ht="12.75">
      <c r="W137" s="64"/>
      <c r="X137" s="64"/>
      <c r="Y137" s="64"/>
      <c r="Z137" s="64"/>
      <c r="AA137" s="65"/>
      <c r="AB137" s="70"/>
      <c r="AC137" s="78"/>
      <c r="AD137" s="67"/>
      <c r="AE137" s="67"/>
    </row>
    <row r="138" spans="23:31" ht="12.75">
      <c r="W138" s="63"/>
      <c r="X138" s="63"/>
      <c r="Y138" s="63"/>
      <c r="Z138" s="63"/>
      <c r="AA138" s="65"/>
      <c r="AB138" s="70"/>
      <c r="AC138" s="78"/>
      <c r="AD138" s="67"/>
      <c r="AE138" s="67"/>
    </row>
  </sheetData>
  <sheetProtection password="CC4F" sheet="1" objects="1" scenarios="1"/>
  <mergeCells count="6">
    <mergeCell ref="T1:AC1"/>
    <mergeCell ref="F2:K2"/>
    <mergeCell ref="M3:N3"/>
    <mergeCell ref="AB3:AC3"/>
    <mergeCell ref="U2:Z2"/>
    <mergeCell ref="E1:N1"/>
  </mergeCells>
  <printOptions gridLines="1"/>
  <pageMargins left="0.1968503937007874" right="0" top="0.3937007874015748" bottom="0.4724409448818898" header="0.1968503937007874" footer="0.31496062992125984"/>
  <pageSetup horizontalDpi="600" verticalDpi="600" orientation="landscape" paperSize="9" scale="63" r:id="rId1"/>
  <headerFooter alignWithMargins="0">
    <oddHeader xml:space="preserve">&amp;L&amp;"Arial,tučné kurzíva"&amp;11ZÚ Hospodaření MČ 1-12/2010&amp;R&amp;"Arial,tučné kurzíva"ZMČ 15.06.2011 příl 2a  </oddHeader>
    <oddFooter>&amp;L&amp;F&amp;R&amp;P</oddFooter>
  </headerFooter>
  <rowBreaks count="2" manualBreakCount="2">
    <brk id="51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tislovamar</cp:lastModifiedBy>
  <cp:lastPrinted>2011-06-02T08:00:46Z</cp:lastPrinted>
  <dcterms:created xsi:type="dcterms:W3CDTF">2009-11-29T19:02:18Z</dcterms:created>
  <dcterms:modified xsi:type="dcterms:W3CDTF">2011-06-02T08:43:08Z</dcterms:modified>
  <cp:category/>
  <cp:version/>
  <cp:contentType/>
  <cp:contentStatus/>
</cp:coreProperties>
</file>