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75" windowWidth="19065" windowHeight="5475" firstSheet="4" activeTab="9"/>
  </bookViews>
  <sheets>
    <sheet name="ZÚ 2a přehled hosp" sheetId="1" r:id="rId1"/>
    <sheet name="ZÚ 2b Ekon.čin" sheetId="2" r:id="rId2"/>
    <sheet name="ZÚ 2d FV" sheetId="3" r:id="rId3"/>
    <sheet name="ZÚ 2h účetní výkaz MČ" sheetId="4" r:id="rId4"/>
    <sheet name="ZÚ 2h výkaz 2 12" sheetId="5" r:id="rId5"/>
    <sheet name="ZÚ 2i ekon.čin MČ" sheetId="6" r:id="rId6"/>
    <sheet name="ZÚ 2j PO MŠ" sheetId="7" r:id="rId7"/>
    <sheet name="ZÚ 2k PO ŠJ" sheetId="8" r:id="rId8"/>
    <sheet name="ZÚ 2l PO ZŠ" sheetId="9" r:id="rId9"/>
    <sheet name="ZÚ 2m PO TS" sheetId="10" r:id="rId10"/>
  </sheets>
  <definedNames>
    <definedName name="_xlnm.Print_Titles" localSheetId="0">'ZÚ 2a přehled hosp'!$A:$A,'ZÚ 2a přehled hosp'!$1:$3</definedName>
    <definedName name="_xlnm.Print_Titles" localSheetId="1">'ZÚ 2b Ekon.čin'!$A:$A</definedName>
  </definedNames>
  <calcPr fullCalcOnLoad="1"/>
</workbook>
</file>

<file path=xl/sharedStrings.xml><?xml version="1.0" encoding="utf-8"?>
<sst xmlns="http://schemas.openxmlformats.org/spreadsheetml/2006/main" count="6012" uniqueCount="2469">
  <si>
    <t>Neinvestiční příspěvky zřízeným příspěvkovým organ</t>
  </si>
  <si>
    <t>1 790 000,00</t>
  </si>
  <si>
    <t>2 002 100,00</t>
  </si>
  <si>
    <t>111,85</t>
  </si>
  <si>
    <t>2 500 000,00</t>
  </si>
  <si>
    <t>4 710 000,00</t>
  </si>
  <si>
    <t>4 717 198,60</t>
  </si>
  <si>
    <t>188,69</t>
  </si>
  <si>
    <t>100,15</t>
  </si>
  <si>
    <t>Předškolní zařízení</t>
  </si>
  <si>
    <t>4 490 000,00</t>
  </si>
  <si>
    <t>6 835 100,00</t>
  </si>
  <si>
    <t>6 832 094,90</t>
  </si>
  <si>
    <t>99,96</t>
  </si>
  <si>
    <t>3113</t>
  </si>
  <si>
    <t>350,00</t>
  </si>
  <si>
    <t>170 452,85</t>
  </si>
  <si>
    <t>156 000,00</t>
  </si>
  <si>
    <t>156 048,00</t>
  </si>
  <si>
    <t>100,03</t>
  </si>
  <si>
    <t>172 000,00</t>
  </si>
  <si>
    <t>171 393,64</t>
  </si>
  <si>
    <t>99,65</t>
  </si>
  <si>
    <t>4 240 000,00</t>
  </si>
  <si>
    <t>5 270 100,00</t>
  </si>
  <si>
    <t>124,29</t>
  </si>
  <si>
    <t>3 936 600,00</t>
  </si>
  <si>
    <t>3 803 069,00</t>
  </si>
  <si>
    <t>96,61</t>
  </si>
  <si>
    <t>Základní školy</t>
  </si>
  <si>
    <t>9 534 700,00</t>
  </si>
  <si>
    <t>9 571 413,49</t>
  </si>
  <si>
    <t>225,74</t>
  </si>
  <si>
    <t>100,39</t>
  </si>
  <si>
    <t>3141</t>
  </si>
  <si>
    <t>20 433,72</t>
  </si>
  <si>
    <t>33 000,00</t>
  </si>
  <si>
    <t>33 029,00</t>
  </si>
  <si>
    <t>100,09</t>
  </si>
  <si>
    <t>7 000,00</t>
  </si>
  <si>
    <t>1 190 000,00</t>
  </si>
  <si>
    <t>1 240 100,00</t>
  </si>
  <si>
    <t>104,21</t>
  </si>
  <si>
    <t>Školní stravování při předšk.a zákl.vzdělávání</t>
  </si>
  <si>
    <t>1 280 100,00</t>
  </si>
  <si>
    <t>1 293 562,72</t>
  </si>
  <si>
    <t>108,70</t>
  </si>
  <si>
    <t>101,05</t>
  </si>
  <si>
    <t>3231</t>
  </si>
  <si>
    <t>Základní umělecké školy</t>
  </si>
  <si>
    <t>3313</t>
  </si>
  <si>
    <t>262 000,00</t>
  </si>
  <si>
    <t>205 301,00</t>
  </si>
  <si>
    <t>78,36</t>
  </si>
  <si>
    <t>81 107,00</t>
  </si>
  <si>
    <t>115,87</t>
  </si>
  <si>
    <t>66 000,00</t>
  </si>
  <si>
    <t>76 019,00</t>
  </si>
  <si>
    <t>115,18</t>
  </si>
  <si>
    <t>27 315,00</t>
  </si>
  <si>
    <t>113,81</t>
  </si>
  <si>
    <t>3 000,00</t>
  </si>
  <si>
    <t>3 053,00</t>
  </si>
  <si>
    <t>101,77</t>
  </si>
  <si>
    <t>3 155,36</t>
  </si>
  <si>
    <t>2 000,00</t>
  </si>
  <si>
    <t>2 073,00</t>
  </si>
  <si>
    <t>103,65</t>
  </si>
  <si>
    <t>4 189,00</t>
  </si>
  <si>
    <t>209,45</t>
  </si>
  <si>
    <t>80 000,00</t>
  </si>
  <si>
    <t>183 000,00</t>
  </si>
  <si>
    <t>183 006,29</t>
  </si>
  <si>
    <t>228,76</t>
  </si>
  <si>
    <t>20 000,00</t>
  </si>
  <si>
    <t>47 378,00</t>
  </si>
  <si>
    <t>236,89</t>
  </si>
  <si>
    <t>100,80</t>
  </si>
  <si>
    <t>18 000,00</t>
  </si>
  <si>
    <t>26 482,00</t>
  </si>
  <si>
    <t>147,12</t>
  </si>
  <si>
    <t>101,85</t>
  </si>
  <si>
    <t>960,00</t>
  </si>
  <si>
    <t>8 912,00</t>
  </si>
  <si>
    <t>59,41</t>
  </si>
  <si>
    <t>219 000,00</t>
  </si>
  <si>
    <t>218 760,00</t>
  </si>
  <si>
    <t>99,89</t>
  </si>
  <si>
    <t>Film.tvorba,distribuce, kina a shrom.audio archiv.</t>
  </si>
  <si>
    <t>562 000,00</t>
  </si>
  <si>
    <t>989 000,00</t>
  </si>
  <si>
    <t>887 810,65</t>
  </si>
  <si>
    <t>157,97</t>
  </si>
  <si>
    <t>89,77</t>
  </si>
  <si>
    <t>1 123 000,00</t>
  </si>
  <si>
    <t>1 089 000,00</t>
  </si>
  <si>
    <t>1 047 027,00</t>
  </si>
  <si>
    <t>93,23</t>
  </si>
  <si>
    <t>96,15</t>
  </si>
  <si>
    <t>10 720,00</t>
  </si>
  <si>
    <t>281 000,00</t>
  </si>
  <si>
    <t>273 000,00</t>
  </si>
  <si>
    <t>266 198,00</t>
  </si>
  <si>
    <t>94,73</t>
  </si>
  <si>
    <t>97,51</t>
  </si>
  <si>
    <t>101 000,00</t>
  </si>
  <si>
    <t>98 000,00</t>
  </si>
  <si>
    <t>95 821,00</t>
  </si>
  <si>
    <t>94,87</t>
  </si>
  <si>
    <t>97,78</t>
  </si>
  <si>
    <t>5 000,00</t>
  </si>
  <si>
    <t>4 513,00</t>
  </si>
  <si>
    <t>90,26</t>
  </si>
  <si>
    <t>300 000,00</t>
  </si>
  <si>
    <t>355 800,00</t>
  </si>
  <si>
    <t>291 366,60</t>
  </si>
  <si>
    <t>97,12</t>
  </si>
  <si>
    <t>81,89</t>
  </si>
  <si>
    <t>15 099,00</t>
  </si>
  <si>
    <t>100,66</t>
  </si>
  <si>
    <t>24 682,46</t>
  </si>
  <si>
    <t>68,56</t>
  </si>
  <si>
    <t>40 000,00</t>
  </si>
  <si>
    <t>103 000,00</t>
  </si>
  <si>
    <t>103 331,37</t>
  </si>
  <si>
    <t>258,33</t>
  </si>
  <si>
    <t>100,32</t>
  </si>
  <si>
    <t>20 071,00</t>
  </si>
  <si>
    <t>18,25</t>
  </si>
  <si>
    <t>28,67</t>
  </si>
  <si>
    <t>1 000,00</t>
  </si>
  <si>
    <t>1 083,00</t>
  </si>
  <si>
    <t>108,30</t>
  </si>
  <si>
    <t>11 093,00</t>
  </si>
  <si>
    <t>73,95</t>
  </si>
  <si>
    <t>96 000,00</t>
  </si>
  <si>
    <t>55 774,10</t>
  </si>
  <si>
    <t>58,10</t>
  </si>
  <si>
    <t>54,15</t>
  </si>
  <si>
    <t>92 000,00</t>
  </si>
  <si>
    <t>23 821,80</t>
  </si>
  <si>
    <t>25,89</t>
  </si>
  <si>
    <t>25 000,00</t>
  </si>
  <si>
    <t>24 810,00</t>
  </si>
  <si>
    <t>99,24</t>
  </si>
  <si>
    <t>2 200 000,00</t>
  </si>
  <si>
    <t>2 280 800,00</t>
  </si>
  <si>
    <t>1 995 411,33</t>
  </si>
  <si>
    <t>90,70</t>
  </si>
  <si>
    <t>87,49</t>
  </si>
  <si>
    <t>460 000,00</t>
  </si>
  <si>
    <t>524 954,00</t>
  </si>
  <si>
    <t>114,12</t>
  </si>
  <si>
    <t>100,76</t>
  </si>
  <si>
    <t>120 000,00</t>
  </si>
  <si>
    <t>92 887,00</t>
  </si>
  <si>
    <t>91,97</t>
  </si>
  <si>
    <t>77,41</t>
  </si>
  <si>
    <t>117 000,00</t>
  </si>
  <si>
    <t>131 000,00</t>
  </si>
  <si>
    <t>133 919,00</t>
  </si>
  <si>
    <t>114,46</t>
  </si>
  <si>
    <t>42 000,00</t>
  </si>
  <si>
    <t>46 000,00</t>
  </si>
  <si>
    <t>48 196,00</t>
  </si>
  <si>
    <t>114,75</t>
  </si>
  <si>
    <t>104,77</t>
  </si>
  <si>
    <t>3 117,00</t>
  </si>
  <si>
    <t>155,85</t>
  </si>
  <si>
    <t>252,00</t>
  </si>
  <si>
    <t>48 408,00</t>
  </si>
  <si>
    <t>53,79</t>
  </si>
  <si>
    <t>56,95</t>
  </si>
  <si>
    <t>51 000,00</t>
  </si>
  <si>
    <t>98 977,90</t>
  </si>
  <si>
    <t>194,07</t>
  </si>
  <si>
    <t>99,98</t>
  </si>
  <si>
    <t>30 000,00</t>
  </si>
  <si>
    <t>6 382,00-</t>
  </si>
  <si>
    <t>21,27-</t>
  </si>
  <si>
    <t>180 000,00</t>
  </si>
  <si>
    <t>98 494,00</t>
  </si>
  <si>
    <t>54,72</t>
  </si>
  <si>
    <t>98,49</t>
  </si>
  <si>
    <t>95 000,00</t>
  </si>
  <si>
    <t>34 993,00</t>
  </si>
  <si>
    <t>36,83</t>
  </si>
  <si>
    <t>25 825,61</t>
  </si>
  <si>
    <t>129,13</t>
  </si>
  <si>
    <t>99,33</t>
  </si>
  <si>
    <t>10 000,00</t>
  </si>
  <si>
    <t>7 920,00</t>
  </si>
  <si>
    <t>26,40</t>
  </si>
  <si>
    <t>79,20</t>
  </si>
  <si>
    <t>2 570,00</t>
  </si>
  <si>
    <t>128,50</t>
  </si>
  <si>
    <t>346 000,00</t>
  </si>
  <si>
    <t>530 000,00</t>
  </si>
  <si>
    <t>455 801,90</t>
  </si>
  <si>
    <t>131,73</t>
  </si>
  <si>
    <t>86,00</t>
  </si>
  <si>
    <t>61 000,00</t>
  </si>
  <si>
    <t>77 747,00</t>
  </si>
  <si>
    <t>155,49</t>
  </si>
  <si>
    <t>127,45</t>
  </si>
  <si>
    <t>1 982,00</t>
  </si>
  <si>
    <t>4 000,00</t>
  </si>
  <si>
    <t>3 911,00</t>
  </si>
  <si>
    <t>404 000,00</t>
  </si>
  <si>
    <t>4 550 600,00</t>
  </si>
  <si>
    <t>4 550 174,00</t>
  </si>
  <si>
    <t>99,99</t>
  </si>
  <si>
    <t>2 018 000,00</t>
  </si>
  <si>
    <t>6 522 600,00</t>
  </si>
  <si>
    <t>6 203 747,41</t>
  </si>
  <si>
    <t>307,42</t>
  </si>
  <si>
    <t>95,11</t>
  </si>
  <si>
    <t>3412</t>
  </si>
  <si>
    <t>66 960,00</t>
  </si>
  <si>
    <t>99,94</t>
  </si>
  <si>
    <t>Sportovní zařízení v majetku obce</t>
  </si>
  <si>
    <t>3419</t>
  </si>
  <si>
    <t>127 700,00</t>
  </si>
  <si>
    <t>Ostatní tělovýchovná činnost</t>
  </si>
  <si>
    <t>3421</t>
  </si>
  <si>
    <t>14 000,00</t>
  </si>
  <si>
    <t>6 735,00</t>
  </si>
  <si>
    <t>48,11</t>
  </si>
  <si>
    <t>151 000,00</t>
  </si>
  <si>
    <t>75 502,00</t>
  </si>
  <si>
    <t>377,51</t>
  </si>
  <si>
    <t>336 000,00</t>
  </si>
  <si>
    <t>335 902,00</t>
  </si>
  <si>
    <t>419,88</t>
  </si>
  <si>
    <t>99,97</t>
  </si>
  <si>
    <t>Využití volného času dětí a mládeže</t>
  </si>
  <si>
    <t>501 000,00</t>
  </si>
  <si>
    <t>418 139,00</t>
  </si>
  <si>
    <t>418,14</t>
  </si>
  <si>
    <t>83,46</t>
  </si>
  <si>
    <t>3539</t>
  </si>
  <si>
    <t>9 600,00</t>
  </si>
  <si>
    <t>96,00</t>
  </si>
  <si>
    <t>Ostatní zdravotnická zaříz.a služby pro zdravot.</t>
  </si>
  <si>
    <t>3541</t>
  </si>
  <si>
    <t>38 492,00</t>
  </si>
  <si>
    <t>76,98</t>
  </si>
  <si>
    <t>Prevence před drogami, alk.,nikot.aj. návyk.lát.</t>
  </si>
  <si>
    <t>1 244,10</t>
  </si>
  <si>
    <t>1 320,00</t>
  </si>
  <si>
    <t>5 000 000,00</t>
  </si>
  <si>
    <t>8 091 000,00</t>
  </si>
  <si>
    <t>8 359 009,20</t>
  </si>
  <si>
    <t>167,18</t>
  </si>
  <si>
    <t>103,31</t>
  </si>
  <si>
    <t>8 361 573,30</t>
  </si>
  <si>
    <t>167,23</t>
  </si>
  <si>
    <t>103,34</t>
  </si>
  <si>
    <t>3632</t>
  </si>
  <si>
    <t>6 901,38</t>
  </si>
  <si>
    <t>1 359,00</t>
  </si>
  <si>
    <t>1 200,00</t>
  </si>
  <si>
    <t>Pohřebnictví</t>
  </si>
  <si>
    <t>9 460,38</t>
  </si>
  <si>
    <t>3636</t>
  </si>
  <si>
    <t>231 000,00</t>
  </si>
  <si>
    <t>230 400,00</t>
  </si>
  <si>
    <t>99,74</t>
  </si>
  <si>
    <t>Územní rozvoj</t>
  </si>
  <si>
    <t>3639</t>
  </si>
  <si>
    <t>39 000,00</t>
  </si>
  <si>
    <t>37 296,00</t>
  </si>
  <si>
    <t>95,63</t>
  </si>
  <si>
    <t>121 442,00</t>
  </si>
  <si>
    <t>100,37</t>
  </si>
  <si>
    <t>7 300 000,00</t>
  </si>
  <si>
    <t>7 640 000,00</t>
  </si>
  <si>
    <t>104,66</t>
  </si>
  <si>
    <t>19 560,00</t>
  </si>
  <si>
    <t>97,80</t>
  </si>
  <si>
    <t>Invest. transf.zřízeným příspěvkovým organizacím</t>
  </si>
  <si>
    <t>Komunální služby a územní rozvoj j.n.</t>
  </si>
  <si>
    <t>8 420 000,00</t>
  </si>
  <si>
    <t>8 418 298,00</t>
  </si>
  <si>
    <t>115,32</t>
  </si>
  <si>
    <t>3722</t>
  </si>
  <si>
    <t>4 200 000,00</t>
  </si>
  <si>
    <t>840,00</t>
  </si>
  <si>
    <t>25 200,00</t>
  </si>
  <si>
    <t>Sběr a svoz komunálních odpadů</t>
  </si>
  <si>
    <t>4 225 000,00</t>
  </si>
  <si>
    <t>4 225 200,00</t>
  </si>
  <si>
    <t>845,04</t>
  </si>
  <si>
    <t>3745</t>
  </si>
  <si>
    <t>5 610,00</t>
  </si>
  <si>
    <t>5,61</t>
  </si>
  <si>
    <t>233 000,00</t>
  </si>
  <si>
    <t>233 556,50</t>
  </si>
  <si>
    <t>100,24</t>
  </si>
  <si>
    <t>Péče o vzhled obcí a veřejnou zeleň</t>
  </si>
  <si>
    <t>333 000,00</t>
  </si>
  <si>
    <t>239 166,50</t>
  </si>
  <si>
    <t>239,17</t>
  </si>
  <si>
    <t>71,82</t>
  </si>
  <si>
    <t>4185</t>
  </si>
  <si>
    <t>Příspěvek na provoz motorového vozidla</t>
  </si>
  <si>
    <t>4319</t>
  </si>
  <si>
    <t>72,00</t>
  </si>
  <si>
    <t>Ostatní výdaje související se sociál.poradenstvím</t>
  </si>
  <si>
    <t>4329</t>
  </si>
  <si>
    <t>12 812,00</t>
  </si>
  <si>
    <t>128,12</t>
  </si>
  <si>
    <t>85,41</t>
  </si>
  <si>
    <t>44 700,00</t>
  </si>
  <si>
    <t>14 371,00</t>
  </si>
  <si>
    <t>71,86</t>
  </si>
  <si>
    <t>32,15</t>
  </si>
  <si>
    <t>7 100,00</t>
  </si>
  <si>
    <t>Ostatní sociální péče a pomoc dětem a mládeži</t>
  </si>
  <si>
    <t>111 700,00</t>
  </si>
  <si>
    <t>34 283,00</t>
  </si>
  <si>
    <t>114,28</t>
  </si>
  <si>
    <t>30,69</t>
  </si>
  <si>
    <t>1 600 000,00</t>
  </si>
  <si>
    <t>2 390 000,00</t>
  </si>
  <si>
    <t>2 105 190,00</t>
  </si>
  <si>
    <t>131,57</t>
  </si>
  <si>
    <t>88,08</t>
  </si>
  <si>
    <t>601 000,00</t>
  </si>
  <si>
    <t>537 515,00</t>
  </si>
  <si>
    <t>134,38</t>
  </si>
  <si>
    <t>89,44</t>
  </si>
  <si>
    <t>144 000,00</t>
  </si>
  <si>
    <t>216 000,00</t>
  </si>
  <si>
    <t>196 514,00</t>
  </si>
  <si>
    <t>136,47</t>
  </si>
  <si>
    <t>90,98</t>
  </si>
  <si>
    <t>6 500,00</t>
  </si>
  <si>
    <t>9 213,00</t>
  </si>
  <si>
    <t>141,74</t>
  </si>
  <si>
    <t>99,10</t>
  </si>
  <si>
    <t>60,00</t>
  </si>
  <si>
    <t>89 000,00</t>
  </si>
  <si>
    <t>48 569,20</t>
  </si>
  <si>
    <t>121,42</t>
  </si>
  <si>
    <t>54,57</t>
  </si>
  <si>
    <t>44 834,00</t>
  </si>
  <si>
    <t>179,34</t>
  </si>
  <si>
    <t>99,63</t>
  </si>
  <si>
    <t>12 000,00</t>
  </si>
  <si>
    <t>19 000,00</t>
  </si>
  <si>
    <t>18 702,00</t>
  </si>
  <si>
    <t>98,43</t>
  </si>
  <si>
    <t>207 000,00</t>
  </si>
  <si>
    <t>154 298,00</t>
  </si>
  <si>
    <t>128,58</t>
  </si>
  <si>
    <t>74,54</t>
  </si>
  <si>
    <t>73 000,00</t>
  </si>
  <si>
    <t>106 000,00</t>
  </si>
  <si>
    <t>66 012,00</t>
  </si>
  <si>
    <t>90,43</t>
  </si>
  <si>
    <t>62,28</t>
  </si>
  <si>
    <t>61 500,00</t>
  </si>
  <si>
    <t>111 500,00</t>
  </si>
  <si>
    <t>71 588,89</t>
  </si>
  <si>
    <t>116,40</t>
  </si>
  <si>
    <t>64,21</t>
  </si>
  <si>
    <t>526,00</t>
  </si>
  <si>
    <t>64 833,22</t>
  </si>
  <si>
    <t>135,07</t>
  </si>
  <si>
    <t>96,77</t>
  </si>
  <si>
    <t>15 076,00</t>
  </si>
  <si>
    <t>150,76</t>
  </si>
  <si>
    <t>100,51</t>
  </si>
  <si>
    <t>11 500,00</t>
  </si>
  <si>
    <t>17 000,00</t>
  </si>
  <si>
    <t>16 860,00</t>
  </si>
  <si>
    <t>146,61</t>
  </si>
  <si>
    <t>99,18</t>
  </si>
  <si>
    <t>481 000,00</t>
  </si>
  <si>
    <t>508 000,00</t>
  </si>
  <si>
    <t>481 789,20</t>
  </si>
  <si>
    <t>94,84</t>
  </si>
  <si>
    <t>271 500,00</t>
  </si>
  <si>
    <t>274 500,00</t>
  </si>
  <si>
    <t>107 303,24</t>
  </si>
  <si>
    <t>39,52</t>
  </si>
  <si>
    <t>39,09</t>
  </si>
  <si>
    <t>20,00</t>
  </si>
  <si>
    <t>7 848,00</t>
  </si>
  <si>
    <t>112,11</t>
  </si>
  <si>
    <t>210 000,00</t>
  </si>
  <si>
    <t>210 477,60</t>
  </si>
  <si>
    <t>100,23</t>
  </si>
  <si>
    <t>3 310 000,00</t>
  </si>
  <si>
    <t>4 895 500,00</t>
  </si>
  <si>
    <t>4 163 175,35</t>
  </si>
  <si>
    <t>125,78</t>
  </si>
  <si>
    <t>85,04</t>
  </si>
  <si>
    <t>4359</t>
  </si>
  <si>
    <t>5 442,00</t>
  </si>
  <si>
    <t>108,84</t>
  </si>
  <si>
    <t>Ostatní služby a činnosti v oblasti sociální péče</t>
  </si>
  <si>
    <t>4379</t>
  </si>
  <si>
    <t>40,00</t>
  </si>
  <si>
    <t>80,00</t>
  </si>
  <si>
    <t>140 000,00</t>
  </si>
  <si>
    <t>170 000,00</t>
  </si>
  <si>
    <t>145 011,00</t>
  </si>
  <si>
    <t>103,58</t>
  </si>
  <si>
    <t>85,30</t>
  </si>
  <si>
    <t>37 204,00</t>
  </si>
  <si>
    <t>74,41</t>
  </si>
  <si>
    <t>55,53</t>
  </si>
  <si>
    <t>82 800,00</t>
  </si>
  <si>
    <t>Ostatní služby a činnosti v oblasti soc. prevence</t>
  </si>
  <si>
    <t>324 800,00</t>
  </si>
  <si>
    <t>186 215,00</t>
  </si>
  <si>
    <t>93,11</t>
  </si>
  <si>
    <t>57,33</t>
  </si>
  <si>
    <t>5512</t>
  </si>
  <si>
    <t>55 000,00</t>
  </si>
  <si>
    <t>70 138,00</t>
  </si>
  <si>
    <t>127,52</t>
  </si>
  <si>
    <t>100,20</t>
  </si>
  <si>
    <t>27 000,00</t>
  </si>
  <si>
    <t>42 800,00</t>
  </si>
  <si>
    <t>42 818,00</t>
  </si>
  <si>
    <t>158,59</t>
  </si>
  <si>
    <t>100,04</t>
  </si>
  <si>
    <t>4 104,00</t>
  </si>
  <si>
    <t>68,40</t>
  </si>
  <si>
    <t>93 000,00</t>
  </si>
  <si>
    <t>92 458,00</t>
  </si>
  <si>
    <t>73,38</t>
  </si>
  <si>
    <t>99,42</t>
  </si>
  <si>
    <t>23 000,00</t>
  </si>
  <si>
    <t>13 144,00</t>
  </si>
  <si>
    <t>57,15</t>
  </si>
  <si>
    <t>101,11</t>
  </si>
  <si>
    <t>26 175,85</t>
  </si>
  <si>
    <t>87,25</t>
  </si>
  <si>
    <t>8 000,00</t>
  </si>
  <si>
    <t>7 182,00</t>
  </si>
  <si>
    <t>89,78</t>
  </si>
  <si>
    <t>12 519,00</t>
  </si>
  <si>
    <t>96,30</t>
  </si>
  <si>
    <t>7 200,00</t>
  </si>
  <si>
    <t>22 000,00</t>
  </si>
  <si>
    <t>19 154,00</t>
  </si>
  <si>
    <t>112,67</t>
  </si>
  <si>
    <t>87,06</t>
  </si>
  <si>
    <t>36 350,00</t>
  </si>
  <si>
    <t>80,78</t>
  </si>
  <si>
    <t>98,24</t>
  </si>
  <si>
    <t>99 118,00</t>
  </si>
  <si>
    <t>100,12</t>
  </si>
  <si>
    <t>Požární ochrana - dobrovolná část</t>
  </si>
  <si>
    <t>444 000,00</t>
  </si>
  <si>
    <t>423 160,85</t>
  </si>
  <si>
    <t>120,90</t>
  </si>
  <si>
    <t>95,31</t>
  </si>
  <si>
    <t>6112</t>
  </si>
  <si>
    <t>Odměny členů zastupitelstva obcí a krajů</t>
  </si>
  <si>
    <t>93,25</t>
  </si>
  <si>
    <t>32 000,00</t>
  </si>
  <si>
    <t>30 932,00</t>
  </si>
  <si>
    <t>96,66</t>
  </si>
  <si>
    <t>11 100,00</t>
  </si>
  <si>
    <t>96,58</t>
  </si>
  <si>
    <t>519 000,00</t>
  </si>
  <si>
    <t>537 199,60</t>
  </si>
  <si>
    <t>103,51</t>
  </si>
  <si>
    <t>2 087,00</t>
  </si>
  <si>
    <t>104,35</t>
  </si>
  <si>
    <t>134 000,00</t>
  </si>
  <si>
    <t>136 338,60</t>
  </si>
  <si>
    <t>143,51</t>
  </si>
  <si>
    <t>101,75</t>
  </si>
  <si>
    <t>Poskytnuté neinvestiční příspěvky a náhrady (část)</t>
  </si>
  <si>
    <t>38 000,00</t>
  </si>
  <si>
    <t>37 800,00</t>
  </si>
  <si>
    <t>99,47</t>
  </si>
  <si>
    <t>31 000,00</t>
  </si>
  <si>
    <t>32 566,80</t>
  </si>
  <si>
    <t>65,13</t>
  </si>
  <si>
    <t>105,05</t>
  </si>
  <si>
    <t>Zastupitelstva obcí</t>
  </si>
  <si>
    <t>2 300 000,00</t>
  </si>
  <si>
    <t>3 097 100,00</t>
  </si>
  <si>
    <t>2 774 849,00</t>
  </si>
  <si>
    <t>120,65</t>
  </si>
  <si>
    <t>89,60</t>
  </si>
  <si>
    <t>6115</t>
  </si>
  <si>
    <t>106 800,00</t>
  </si>
  <si>
    <t>106 703,00</t>
  </si>
  <si>
    <t>99,91</t>
  </si>
  <si>
    <t>9 800,00</t>
  </si>
  <si>
    <t>16 684,00</t>
  </si>
  <si>
    <t>170,24</t>
  </si>
  <si>
    <t>12 825,60</t>
  </si>
  <si>
    <t>30 100,00</t>
  </si>
  <si>
    <t>30 079,60</t>
  </si>
  <si>
    <t>99,93</t>
  </si>
  <si>
    <t>117 100,00</t>
  </si>
  <si>
    <t>107 320,40</t>
  </si>
  <si>
    <t>91,65</t>
  </si>
  <si>
    <t>Volby do zastupitelstev územních samosprávných cel</t>
  </si>
  <si>
    <t>263 800,00</t>
  </si>
  <si>
    <t>273 612,60</t>
  </si>
  <si>
    <t>103,72</t>
  </si>
  <si>
    <t>23 083 000,00</t>
  </si>
  <si>
    <t>23 603 000,00</t>
  </si>
  <si>
    <t>19 559 657,00</t>
  </si>
  <si>
    <t>84,74</t>
  </si>
  <si>
    <t>82,87</t>
  </si>
  <si>
    <t>223 182,00</t>
  </si>
  <si>
    <t>185,99</t>
  </si>
  <si>
    <t>123,99</t>
  </si>
  <si>
    <t>6 296 000,00</t>
  </si>
  <si>
    <t>6 427 000,00</t>
  </si>
  <si>
    <t>5 340 502,00</t>
  </si>
  <si>
    <t>84,82</t>
  </si>
  <si>
    <t>83,09</t>
  </si>
  <si>
    <t>2 309 000,00</t>
  </si>
  <si>
    <t>2 355 700,00</t>
  </si>
  <si>
    <t>1 968 688,00</t>
  </si>
  <si>
    <t>85,26</t>
  </si>
  <si>
    <t>83,57</t>
  </si>
  <si>
    <t>98 684,00</t>
  </si>
  <si>
    <t>99,68</t>
  </si>
  <si>
    <t>95,81</t>
  </si>
  <si>
    <t>30 007,40</t>
  </si>
  <si>
    <t>78,97</t>
  </si>
  <si>
    <t>756 000,00</t>
  </si>
  <si>
    <t>553 984,90</t>
  </si>
  <si>
    <t>73,28</t>
  </si>
  <si>
    <t>100,36</t>
  </si>
  <si>
    <t>740 000,00</t>
  </si>
  <si>
    <t>725 000,00</t>
  </si>
  <si>
    <t>711 720,05</t>
  </si>
  <si>
    <t>96,18</t>
  </si>
  <si>
    <t>98,17</t>
  </si>
  <si>
    <t>76 000,00</t>
  </si>
  <si>
    <t>58 000,00</t>
  </si>
  <si>
    <t>52 841,00</t>
  </si>
  <si>
    <t>69,53</t>
  </si>
  <si>
    <t>91,11</t>
  </si>
  <si>
    <t>594 000,00</t>
  </si>
  <si>
    <t>593 949,97</t>
  </si>
  <si>
    <t>197,98</t>
  </si>
  <si>
    <t>568 000,00</t>
  </si>
  <si>
    <t>260 000,00</t>
  </si>
  <si>
    <t>234 427,00</t>
  </si>
  <si>
    <t>41,27</t>
  </si>
  <si>
    <t>90,16</t>
  </si>
  <si>
    <t>93 230,02</t>
  </si>
  <si>
    <t>92,31</t>
  </si>
  <si>
    <t>100,25</t>
  </si>
  <si>
    <t>493 000,00</t>
  </si>
  <si>
    <t>301 016,00</t>
  </si>
  <si>
    <t>61,06</t>
  </si>
  <si>
    <t>100,34</t>
  </si>
  <si>
    <t>593 000,00</t>
  </si>
  <si>
    <t>476 700,00</t>
  </si>
  <si>
    <t>471 837,06</t>
  </si>
  <si>
    <t>79,57</t>
  </si>
  <si>
    <t>572 000,00</t>
  </si>
  <si>
    <t>483 488,50</t>
  </si>
  <si>
    <t>84,53</t>
  </si>
  <si>
    <t>98,07</t>
  </si>
  <si>
    <t>136,80</t>
  </si>
  <si>
    <t>96,75</t>
  </si>
  <si>
    <t>475 000,00</t>
  </si>
  <si>
    <t>334 864,00</t>
  </si>
  <si>
    <t>99,07</t>
  </si>
  <si>
    <t>70,50</t>
  </si>
  <si>
    <t>11 008 000,00</t>
  </si>
  <si>
    <t>4 313 000,00</t>
  </si>
  <si>
    <t>4 153 684,79</t>
  </si>
  <si>
    <t>37,73</t>
  </si>
  <si>
    <t>96,31</t>
  </si>
  <si>
    <t>293 000,00</t>
  </si>
  <si>
    <t>477 000,00</t>
  </si>
  <si>
    <t>503 922,80</t>
  </si>
  <si>
    <t>171,99</t>
  </si>
  <si>
    <t>105,64</t>
  </si>
  <si>
    <t>28,70</t>
  </si>
  <si>
    <t>99,82</t>
  </si>
  <si>
    <t>53 828,00</t>
  </si>
  <si>
    <t>82,81</t>
  </si>
  <si>
    <t>2 359,00</t>
  </si>
  <si>
    <t>117,95</t>
  </si>
  <si>
    <t>78,63</t>
  </si>
  <si>
    <t>673 500,00</t>
  </si>
  <si>
    <t>23 500,00</t>
  </si>
  <si>
    <t>3,62</t>
  </si>
  <si>
    <t>3,49</t>
  </si>
  <si>
    <t>32 014,00</t>
  </si>
  <si>
    <t>Odvody za neplnění povinn. zaměst. zdrav. postiž.</t>
  </si>
  <si>
    <t>111,62</t>
  </si>
  <si>
    <t>Neinvestiční transfery občanským sdružením</t>
  </si>
  <si>
    <t>Ostatní neinv.transfery nezisk.a podob.organizacím</t>
  </si>
  <si>
    <t>9 460,00</t>
  </si>
  <si>
    <t>63,07</t>
  </si>
  <si>
    <t>151,73</t>
  </si>
  <si>
    <t>105 000,00</t>
  </si>
  <si>
    <t>123 027,00</t>
  </si>
  <si>
    <t>175,75</t>
  </si>
  <si>
    <t>117,17</t>
  </si>
  <si>
    <t>42,86</t>
  </si>
  <si>
    <t>Ostatní neinvestiční výdaje j.n.</t>
  </si>
  <si>
    <t>106,96</t>
  </si>
  <si>
    <t>186,31</t>
  </si>
  <si>
    <t>156,13</t>
  </si>
  <si>
    <t>3 150 000,00</t>
  </si>
  <si>
    <t>3 146 705,22</t>
  </si>
  <si>
    <t>78,67</t>
  </si>
  <si>
    <t>99,90</t>
  </si>
  <si>
    <t>261 124,00</t>
  </si>
  <si>
    <t>100,43</t>
  </si>
  <si>
    <t>2,26</t>
  </si>
  <si>
    <t>100,52</t>
  </si>
  <si>
    <t>Investiční transfery občanským sdružením</t>
  </si>
  <si>
    <t>110,00</t>
  </si>
  <si>
    <t>Ostatní inv.transf.nezisk.a podobným organizacím</t>
  </si>
  <si>
    <t>57 105 000,00</t>
  </si>
  <si>
    <t>50 248 900,00</t>
  </si>
  <si>
    <t>43 327 456,71</t>
  </si>
  <si>
    <t>75,87</t>
  </si>
  <si>
    <t>86,23</t>
  </si>
  <si>
    <t>638,00</t>
  </si>
  <si>
    <t>6330</t>
  </si>
  <si>
    <t>Převody FKSP a sociálnímu fondu obcí a krajů</t>
  </si>
  <si>
    <t>79,95</t>
  </si>
  <si>
    <t>Převody vlastním fondům v rozpočtech územní úrovně</t>
  </si>
  <si>
    <t>ROZPOČTOVÉ VÝDAJE CELKEM</t>
  </si>
  <si>
    <t>94,71</t>
  </si>
  <si>
    <t>86,35</t>
  </si>
  <si>
    <t>III. FINANCOVÁNÍ - třída 8</t>
  </si>
  <si>
    <t>163,52-</t>
  </si>
  <si>
    <t>8000</t>
  </si>
  <si>
    <t>IV. REKAPITULACE PŘÍJMŮ, VÝDAJŮ, FINANCOVÁNÍ A JEJICH KONSOLIDACE</t>
  </si>
  <si>
    <t>TŘÍDA 1</t>
  </si>
  <si>
    <t>- DAŇOVÉ PŘÍJMY</t>
  </si>
  <si>
    <t>4010</t>
  </si>
  <si>
    <t>86,41</t>
  </si>
  <si>
    <t>98,04</t>
  </si>
  <si>
    <t>TŘÍDA 2</t>
  </si>
  <si>
    <t>- NEDAŇOVÉ PŘÍJMY</t>
  </si>
  <si>
    <t>4020</t>
  </si>
  <si>
    <t>32,86</t>
  </si>
  <si>
    <t>103,38</t>
  </si>
  <si>
    <t>TŘÍDA 3</t>
  </si>
  <si>
    <t>- KAPITÁLOVÉ PŘÍJMY</t>
  </si>
  <si>
    <t>4030</t>
  </si>
  <si>
    <t>TŘÍDA 4</t>
  </si>
  <si>
    <t>- PŘIJATÉ TRANSFERY</t>
  </si>
  <si>
    <t>4040</t>
  </si>
  <si>
    <t>103,33</t>
  </si>
  <si>
    <t>89,45</t>
  </si>
  <si>
    <t>4050</t>
  </si>
  <si>
    <t>KONSOLIDACE PŘÍJMŮ</t>
  </si>
  <si>
    <t>4060</t>
  </si>
  <si>
    <t>v tom položky:</t>
  </si>
  <si>
    <t>2223 -</t>
  </si>
  <si>
    <t>Příjmy z finančního vypořádání minulých let mezi krajem a obcemi</t>
  </si>
  <si>
    <t>4061</t>
  </si>
  <si>
    <t>2226 -</t>
  </si>
  <si>
    <t>Příjmy z finančního vypořádání minulých let mezi obcemi</t>
  </si>
  <si>
    <t>4062</t>
  </si>
  <si>
    <t>2227 -</t>
  </si>
  <si>
    <t>Příjmy z finančního vypořádání minulých let mezi regionální radou a kraji, obcemi a DS</t>
  </si>
  <si>
    <t>4063</t>
  </si>
  <si>
    <t>2441 -</t>
  </si>
  <si>
    <t>Splátky půjčených prostředků od obcí</t>
  </si>
  <si>
    <t>4070</t>
  </si>
  <si>
    <t>2442 -</t>
  </si>
  <si>
    <t>Splátky půjčených prostředků od krajů</t>
  </si>
  <si>
    <t>4080</t>
  </si>
  <si>
    <t>2443 -</t>
  </si>
  <si>
    <t>Splátky půjčených prostředků od regionálních rad</t>
  </si>
  <si>
    <t>4081</t>
  </si>
  <si>
    <t>2449 -</t>
  </si>
  <si>
    <t>Ostatní splátky půjčených prostředků od veřejných rozpočtů územní úrovně</t>
  </si>
  <si>
    <t>4090</t>
  </si>
  <si>
    <t>4121 -</t>
  </si>
  <si>
    <t>4100</t>
  </si>
  <si>
    <t>4122 -</t>
  </si>
  <si>
    <t>Neinvestiční přijaté transfery od krajů</t>
  </si>
  <si>
    <t>4110</t>
  </si>
  <si>
    <t>4123 -</t>
  </si>
  <si>
    <t>Neinvestiční přijaté transfery od regionálních rad</t>
  </si>
  <si>
    <t>4129 -</t>
  </si>
  <si>
    <t>Ostatní neinvestiční přijaté transfery od rozpočtů územní úrovně</t>
  </si>
  <si>
    <t>4120</t>
  </si>
  <si>
    <t>*4133 -</t>
  </si>
  <si>
    <t>Převody z vlastních rezervních fondů</t>
  </si>
  <si>
    <t>4130</t>
  </si>
  <si>
    <t>*4134 -</t>
  </si>
  <si>
    <t>4140</t>
  </si>
  <si>
    <t>*4139 -</t>
  </si>
  <si>
    <t>Ostatní převody z vlastních fondů</t>
  </si>
  <si>
    <t>4150</t>
  </si>
  <si>
    <t>4221 -</t>
  </si>
  <si>
    <t>4170</t>
  </si>
  <si>
    <t>4222 -</t>
  </si>
  <si>
    <t>Investiční přijaté transfery od krajů</t>
  </si>
  <si>
    <t>4180</t>
  </si>
  <si>
    <t>4223 -</t>
  </si>
  <si>
    <t>Investiční přijaté transfery od regionálních rad</t>
  </si>
  <si>
    <t>4181</t>
  </si>
  <si>
    <t>4229 -</t>
  </si>
  <si>
    <t>Ostatní investiční přijaté transfery od rozpočtů územní úrovně</t>
  </si>
  <si>
    <t>4190</t>
  </si>
  <si>
    <t>Název</t>
  </si>
  <si>
    <t>Číslo řádku</t>
  </si>
  <si>
    <t>r</t>
  </si>
  <si>
    <t>43</t>
  </si>
  <si>
    <t>ZJ 024 -</t>
  </si>
  <si>
    <t>Transfery přijaté z území jiného okresu</t>
  </si>
  <si>
    <t>4191</t>
  </si>
  <si>
    <t>ZJ 025 -</t>
  </si>
  <si>
    <t>Splátky půjčených prostředků přijatých z území jiného okresu</t>
  </si>
  <si>
    <t>4192</t>
  </si>
  <si>
    <t>ZJ 028 -</t>
  </si>
  <si>
    <t>Transfery přijaté z území jiného kraje</t>
  </si>
  <si>
    <t>4193</t>
  </si>
  <si>
    <t>128 085,00</t>
  </si>
  <si>
    <t>ZJ 029 -</t>
  </si>
  <si>
    <t>Splátky půjčených prostředků přijatých z území jiného kraje</t>
  </si>
  <si>
    <t>4194</t>
  </si>
  <si>
    <t>4200</t>
  </si>
  <si>
    <t>117,57</t>
  </si>
  <si>
    <t>TŘÍDA 5</t>
  </si>
  <si>
    <t>- BĚŽNÉ VÝDAJE</t>
  </si>
  <si>
    <t>4210</t>
  </si>
  <si>
    <t>86,64</t>
  </si>
  <si>
    <t>84,21</t>
  </si>
  <si>
    <t>TŘÍDA 6</t>
  </si>
  <si>
    <t>- KAPITÁLOVÉ VÝDAJE</t>
  </si>
  <si>
    <t>4220</t>
  </si>
  <si>
    <t>200,93</t>
  </si>
  <si>
    <t>100,85</t>
  </si>
  <si>
    <t>4240</t>
  </si>
  <si>
    <t>KONSOLIDACE VÝDAJŮ</t>
  </si>
  <si>
    <t>4250</t>
  </si>
  <si>
    <t>5321 -</t>
  </si>
  <si>
    <t>Neinvestiční transfery obcím</t>
  </si>
  <si>
    <t>4260</t>
  </si>
  <si>
    <t>5323 -</t>
  </si>
  <si>
    <t>Neinvestiční transfery krajům</t>
  </si>
  <si>
    <t>4270</t>
  </si>
  <si>
    <t>5325 -</t>
  </si>
  <si>
    <t>Neinvestiční transfery regionálním radám</t>
  </si>
  <si>
    <t>4271</t>
  </si>
  <si>
    <t>5329 -</t>
  </si>
  <si>
    <t>Ostatní neinvestiční transfery veřejným rozp. územní úrovně</t>
  </si>
  <si>
    <t>4280</t>
  </si>
  <si>
    <t>*5342 -</t>
  </si>
  <si>
    <t>4281</t>
  </si>
  <si>
    <t>*5344 -</t>
  </si>
  <si>
    <t>Převody vlastním rezervním fondům územních rozpočtů</t>
  </si>
  <si>
    <t>4290</t>
  </si>
  <si>
    <t>*5345 -</t>
  </si>
  <si>
    <t>4300</t>
  </si>
  <si>
    <t>*5349 -</t>
  </si>
  <si>
    <t>Ostatní převody vlastním fondům</t>
  </si>
  <si>
    <t>4310</t>
  </si>
  <si>
    <t>5366 -</t>
  </si>
  <si>
    <t>Výdaje z finančního vypořádání minulých let mezi krajem a obcemi</t>
  </si>
  <si>
    <t>4321</t>
  </si>
  <si>
    <t>5367 -</t>
  </si>
  <si>
    <t>Výdaje z finančního vypořádání minulých let mezi obcemi</t>
  </si>
  <si>
    <t>4322</t>
  </si>
  <si>
    <t>5368 -</t>
  </si>
  <si>
    <t>Výdaje z finančního vypořádání minulých let mezi regionální radou a kraji, obcemi a DSO</t>
  </si>
  <si>
    <t>4323</t>
  </si>
  <si>
    <t>5641 -</t>
  </si>
  <si>
    <t>Neinvestiční půjčené prostředky obcím</t>
  </si>
  <si>
    <t>4330</t>
  </si>
  <si>
    <t>5642 -</t>
  </si>
  <si>
    <t>Neinvestiční půjčené prostředky krajům</t>
  </si>
  <si>
    <t>4340</t>
  </si>
  <si>
    <t>5643 -</t>
  </si>
  <si>
    <t>Neinvestiční půjčené prostředky regionálním radám</t>
  </si>
  <si>
    <t>4341</t>
  </si>
  <si>
    <t>5649 -</t>
  </si>
  <si>
    <t>Ostatní neinvestiční půjčené prostředky veřejným rozp. územní úrovně</t>
  </si>
  <si>
    <t>4350</t>
  </si>
  <si>
    <t>6341 -</t>
  </si>
  <si>
    <t>Investiční transfery obcím</t>
  </si>
  <si>
    <t>4360</t>
  </si>
  <si>
    <t>6342 -</t>
  </si>
  <si>
    <t>Investiční transfery krajům</t>
  </si>
  <si>
    <t>4370</t>
  </si>
  <si>
    <t>6345 -</t>
  </si>
  <si>
    <t>Investiční transfery regionálním radám</t>
  </si>
  <si>
    <t>4371</t>
  </si>
  <si>
    <t>6349 -</t>
  </si>
  <si>
    <t>Ostatní investiční transfery veřejným rozpočtům územní úrovně</t>
  </si>
  <si>
    <t>4380</t>
  </si>
  <si>
    <t>6441 -</t>
  </si>
  <si>
    <t>Investiční půjčené prostředky obcím</t>
  </si>
  <si>
    <t>4400</t>
  </si>
  <si>
    <t>6442 -</t>
  </si>
  <si>
    <t>Investiční půjčené prostředky krajům</t>
  </si>
  <si>
    <t>4410</t>
  </si>
  <si>
    <t>6443 -</t>
  </si>
  <si>
    <t>Investiční půjčené prostředky regionálním radám</t>
  </si>
  <si>
    <t>4411</t>
  </si>
  <si>
    <t>6449 -</t>
  </si>
  <si>
    <t>Ostatní investiční půjčené prostředky veřejným rozpočtům územní úrovně</t>
  </si>
  <si>
    <t>4420</t>
  </si>
  <si>
    <t>ZJ 026 -</t>
  </si>
  <si>
    <t>Transfery poskytnuté na území jiného okresu</t>
  </si>
  <si>
    <t>4421</t>
  </si>
  <si>
    <t>ZJ 027 -</t>
  </si>
  <si>
    <t>Půjčené prostředky poskytnuté na území jiného okresu</t>
  </si>
  <si>
    <t>4422</t>
  </si>
  <si>
    <t>ZJ 035 -</t>
  </si>
  <si>
    <t>Transfery poskytnuté na území jiného kraje</t>
  </si>
  <si>
    <t>4423</t>
  </si>
  <si>
    <t>ZJ 036 -</t>
  </si>
  <si>
    <t>Půjčené prostředky poskytnuté na území jiného kraje</t>
  </si>
  <si>
    <t>4424</t>
  </si>
  <si>
    <t>4430</t>
  </si>
  <si>
    <t>111,56</t>
  </si>
  <si>
    <t>91,93</t>
  </si>
  <si>
    <t>SALDO PŘÍJMŮ A VÝDAJŮ PO KONSOLIDACI</t>
  </si>
  <si>
    <t>4440</t>
  </si>
  <si>
    <t>TŘÍDA 8</t>
  </si>
  <si>
    <t>- FINANCOVÁNÍ</t>
  </si>
  <si>
    <t>4450</t>
  </si>
  <si>
    <t>KONSOLIDACE FINANCOVÁNÍ</t>
  </si>
  <si>
    <t>4460</t>
  </si>
  <si>
    <t>FINANCOVÁNÍ CELKEM PO KONSOLIDACI</t>
  </si>
  <si>
    <t>4470</t>
  </si>
  <si>
    <t>VI. STAVY A OBRATY NA BANKOVNÍCH ÚČTECH</t>
  </si>
  <si>
    <t>Stav ke konci vykazovaného období</t>
  </si>
  <si>
    <t>62</t>
  </si>
  <si>
    <t>6010</t>
  </si>
  <si>
    <t>6020</t>
  </si>
  <si>
    <t>6030</t>
  </si>
  <si>
    <t>6040</t>
  </si>
  <si>
    <t>6050</t>
  </si>
  <si>
    <t>VII. VYBRANÉ ZÁZNAMOVÉ JEDNOTKY</t>
  </si>
  <si>
    <t>71</t>
  </si>
  <si>
    <t>72</t>
  </si>
  <si>
    <t>73</t>
  </si>
  <si>
    <t>7090</t>
  </si>
  <si>
    <t>Příjmy z fin. vypořádání minu. let mezi obcemi</t>
  </si>
  <si>
    <t>7092</t>
  </si>
  <si>
    <t>7100</t>
  </si>
  <si>
    <t>Ostatní neinvest. přijaté transfery od rozp. územ.úrovně</t>
  </si>
  <si>
    <t>7110</t>
  </si>
  <si>
    <t>7120</t>
  </si>
  <si>
    <t>Ostatní investiční přijaté transfery od rozp.územ.úrovně</t>
  </si>
  <si>
    <t>7130</t>
  </si>
  <si>
    <t>Splátky půjčených prostř. přijatých z území jiného okr</t>
  </si>
  <si>
    <t>7140</t>
  </si>
  <si>
    <t>7150</t>
  </si>
  <si>
    <t>Ost. splátky půjč. prostř. od veřej. rozp. územní úrovně</t>
  </si>
  <si>
    <t>7160</t>
  </si>
  <si>
    <t>7170</t>
  </si>
  <si>
    <t>7180</t>
  </si>
  <si>
    <t>Ostatní neinvestiční transfery veř. rozp. územní úrovně</t>
  </si>
  <si>
    <t>7190</t>
  </si>
  <si>
    <t>Výdaje z fin. vypořádání min. let mezi obcemi</t>
  </si>
  <si>
    <t>7192</t>
  </si>
  <si>
    <t>7200</t>
  </si>
  <si>
    <t>Ostatní investiční transfery veřejným rozp.územní úrovně</t>
  </si>
  <si>
    <t>7210</t>
  </si>
  <si>
    <t>7220</t>
  </si>
  <si>
    <t>7230</t>
  </si>
  <si>
    <t>Ost. neinvest. půjčené prostř. veřej.rozp. územní úrovně</t>
  </si>
  <si>
    <t>7240</t>
  </si>
  <si>
    <t>7250</t>
  </si>
  <si>
    <t>Ost. invest. půjčené prostř. veřej. rozp. územní úrovně</t>
  </si>
  <si>
    <t>7260</t>
  </si>
  <si>
    <t>7290</t>
  </si>
  <si>
    <t>Příjmy z fin. vypořádání minu. let mezi krajem a obcemi</t>
  </si>
  <si>
    <t>7291</t>
  </si>
  <si>
    <t>7292</t>
  </si>
  <si>
    <t>7300</t>
  </si>
  <si>
    <t>7310</t>
  </si>
  <si>
    <t>Ost. neinvestiční přijaté transfery od rozp. územ.úrovně</t>
  </si>
  <si>
    <t>7320</t>
  </si>
  <si>
    <t>7330</t>
  </si>
  <si>
    <t>7340</t>
  </si>
  <si>
    <t>Ost. investiční přijaté transfery od rozp. územní úrovně</t>
  </si>
  <si>
    <t>7350</t>
  </si>
  <si>
    <t>Splátky půjčených prostř. přijaté z území jiného kraje</t>
  </si>
  <si>
    <t>7360</t>
  </si>
  <si>
    <t>7370</t>
  </si>
  <si>
    <t>7380</t>
  </si>
  <si>
    <t>Ost. splátky půjčených prostř. od veř. rozp. územ. úrov.</t>
  </si>
  <si>
    <t>7390</t>
  </si>
  <si>
    <t>7400</t>
  </si>
  <si>
    <t>7410</t>
  </si>
  <si>
    <t>7420</t>
  </si>
  <si>
    <t>Ostatní neinvestiční transfery veřej. rozp.územní úrovně</t>
  </si>
  <si>
    <t>7430</t>
  </si>
  <si>
    <t>Výdaje z fin. vypořádání min. let mezi krajem a obcemi</t>
  </si>
  <si>
    <t>7431</t>
  </si>
  <si>
    <t>7432</t>
  </si>
  <si>
    <t>7440</t>
  </si>
  <si>
    <t>7450</t>
  </si>
  <si>
    <t>Ost. investiční transfery veřejným rozpočtům územ.úrovně</t>
  </si>
  <si>
    <t>7460</t>
  </si>
  <si>
    <t>7470</t>
  </si>
  <si>
    <t>7480</t>
  </si>
  <si>
    <t>7490</t>
  </si>
  <si>
    <t>Ost. neinvest. půjčené prostř. veř. rozp. územní úrovně</t>
  </si>
  <si>
    <t>7500</t>
  </si>
  <si>
    <t>7510</t>
  </si>
  <si>
    <t>7520</t>
  </si>
  <si>
    <t>7530</t>
  </si>
  <si>
    <t>IX. PŘIJATÉ TRANSFERY A PŮJČKY ZE STÁTNÍHO ROZPOČTU, STÁTNÍCH FONDŮ A REGIONÁLNÍCH RAD</t>
  </si>
  <si>
    <t>Účelový znak</t>
  </si>
  <si>
    <t>93</t>
  </si>
  <si>
    <t>13008</t>
  </si>
  <si>
    <t>13305</t>
  </si>
  <si>
    <t>970 000,00</t>
  </si>
  <si>
    <t>98008</t>
  </si>
  <si>
    <t>7 840,00</t>
  </si>
  <si>
    <t>98193</t>
  </si>
  <si>
    <t>256 000,00</t>
  </si>
  <si>
    <t>98216</t>
  </si>
  <si>
    <t>1 634 351,00</t>
  </si>
  <si>
    <t>C E L K E M</t>
  </si>
  <si>
    <t>2 912 241,00</t>
  </si>
  <si>
    <t>X. TRANSFERY A PŮJČKY POSKYTNUTÉ REGIONÁLNÍMI RADAMI ÚZEMNĚ SAMOSPRÁVNÝM CELKŮM, DOBROVOLNÝM SVAZKŮM OBCÍ A REGIONÁLNÍM RADÁM</t>
  </si>
  <si>
    <t>Kód územní jednotky</t>
  </si>
  <si>
    <t>c</t>
  </si>
  <si>
    <t>103</t>
  </si>
  <si>
    <t>*****  tato část výkazu nemá data  *****</t>
  </si>
  <si>
    <t>XI. Příjmy z rozpočtu EU a související příjmy v členění podle nástroje a zdroje financování</t>
  </si>
  <si>
    <t>Nástroj</t>
  </si>
  <si>
    <t>Zdroj</t>
  </si>
  <si>
    <t>d</t>
  </si>
  <si>
    <t>*******</t>
  </si>
  <si>
    <t>XII. Výdaje spolufinancované z rozpočtu EU a související výdaje v členění podle nástroje a zdroje financování</t>
  </si>
  <si>
    <t>26.05.2013 13:02:55</t>
  </si>
  <si>
    <t>Zpracováno systémem  GINIS® GORDIC® spol. s  r. o.</t>
  </si>
  <si>
    <t>strana 1 / 1</t>
  </si>
  <si>
    <t>Licence: MP29</t>
  </si>
  <si>
    <t>XCRGUVXA / VXA  (06032012 / 01012012)</t>
  </si>
  <si>
    <t>VÝKAZ ZISKU A ZTRÁTY</t>
  </si>
  <si>
    <t>příspěvkové organizace</t>
  </si>
  <si>
    <t>(v Kč, s přesností na dvě desetinná místa)</t>
  </si>
  <si>
    <t>Období:</t>
  </si>
  <si>
    <t>12 / 2012</t>
  </si>
  <si>
    <t>913138</t>
  </si>
  <si>
    <t>Název:</t>
  </si>
  <si>
    <t>VH ÚMO - RADOTÍN     VH       828 ;4;2</t>
  </si>
  <si>
    <t>Číslo</t>
  </si>
  <si>
    <t>Syntetický</t>
  </si>
  <si>
    <t>Běžné období</t>
  </si>
  <si>
    <t>Minulé období</t>
  </si>
  <si>
    <t>položky</t>
  </si>
  <si>
    <t>účet</t>
  </si>
  <si>
    <t>Hospodářská činnost</t>
  </si>
  <si>
    <t>A.</t>
  </si>
  <si>
    <t>Náklady celkem</t>
  </si>
  <si>
    <t>I.</t>
  </si>
  <si>
    <t>Náklady z činnosti</t>
  </si>
  <si>
    <t>Spotřeba materiálu</t>
  </si>
  <si>
    <t>Spotřeba energie</t>
  </si>
  <si>
    <t>Spotřeba jiných neskladovatelných dodávek</t>
  </si>
  <si>
    <t>Prodané zboží</t>
  </si>
  <si>
    <t>504</t>
  </si>
  <si>
    <t>Aktivace dlouhodobého majetku</t>
  </si>
  <si>
    <t>506</t>
  </si>
  <si>
    <t>Aktivace oběžného majetku</t>
  </si>
  <si>
    <t>507</t>
  </si>
  <si>
    <t>Změna stavu zásob vlastní výroby</t>
  </si>
  <si>
    <t>508</t>
  </si>
  <si>
    <t>511</t>
  </si>
  <si>
    <t>Cestovné</t>
  </si>
  <si>
    <t>512</t>
  </si>
  <si>
    <t>Náklady na reprezentaci</t>
  </si>
  <si>
    <t>11.</t>
  </si>
  <si>
    <t>Aktivace vnitroorganizačních služeb</t>
  </si>
  <si>
    <t>12.</t>
  </si>
  <si>
    <t>Ostatní služby</t>
  </si>
  <si>
    <t>518</t>
  </si>
  <si>
    <t>13.</t>
  </si>
  <si>
    <t>Mzdové náklady</t>
  </si>
  <si>
    <t>521</t>
  </si>
  <si>
    <t>14.</t>
  </si>
  <si>
    <t>Zákonné sociální pojištění</t>
  </si>
  <si>
    <t>524</t>
  </si>
  <si>
    <t>15.</t>
  </si>
  <si>
    <t>Jiné sociální pojištění</t>
  </si>
  <si>
    <t>525</t>
  </si>
  <si>
    <t>16.</t>
  </si>
  <si>
    <t>Zákonné sociální náklady</t>
  </si>
  <si>
    <t>527</t>
  </si>
  <si>
    <t>17.</t>
  </si>
  <si>
    <t>Jiné sociální náklady</t>
  </si>
  <si>
    <t>528</t>
  </si>
  <si>
    <t>18.</t>
  </si>
  <si>
    <t>Daň silniční</t>
  </si>
  <si>
    <t>531</t>
  </si>
  <si>
    <t>19.</t>
  </si>
  <si>
    <t>532</t>
  </si>
  <si>
    <t>20.</t>
  </si>
  <si>
    <t>Jiné daně a poplatky</t>
  </si>
  <si>
    <t>538</t>
  </si>
  <si>
    <t>22.</t>
  </si>
  <si>
    <t>Smluvní pokuty a úroky z prodlení</t>
  </si>
  <si>
    <t>23.</t>
  </si>
  <si>
    <t>Jiné pokuty a penále</t>
  </si>
  <si>
    <t>24.</t>
  </si>
  <si>
    <t>Dary</t>
  </si>
  <si>
    <t>543</t>
  </si>
  <si>
    <t>25.</t>
  </si>
  <si>
    <t>Prodaný materiál</t>
  </si>
  <si>
    <t>544</t>
  </si>
  <si>
    <t>26.</t>
  </si>
  <si>
    <t>Manka a škody</t>
  </si>
  <si>
    <t>547</t>
  </si>
  <si>
    <t>27.</t>
  </si>
  <si>
    <t>Tvorba fondů</t>
  </si>
  <si>
    <t>548</t>
  </si>
  <si>
    <t>28.</t>
  </si>
  <si>
    <t>Odpisy dlouhodobého majetku</t>
  </si>
  <si>
    <t>551</t>
  </si>
  <si>
    <t>29.</t>
  </si>
  <si>
    <t>Prodaný dlouhodobý nehmotný majetek</t>
  </si>
  <si>
    <t>552</t>
  </si>
  <si>
    <t>30.</t>
  </si>
  <si>
    <t>Prodaný dlouhodobý hmotný majetek</t>
  </si>
  <si>
    <t>553</t>
  </si>
  <si>
    <t>31.</t>
  </si>
  <si>
    <t>Prodané pozemky</t>
  </si>
  <si>
    <t>554</t>
  </si>
  <si>
    <t>32.</t>
  </si>
  <si>
    <t>Tvorba a zúčtování rezerv</t>
  </si>
  <si>
    <t>555</t>
  </si>
  <si>
    <t>33.</t>
  </si>
  <si>
    <t>Tvorba a zúčtování opravných položek</t>
  </si>
  <si>
    <t>556</t>
  </si>
  <si>
    <t>34.</t>
  </si>
  <si>
    <t>Náklady z vyřazených pohledávek</t>
  </si>
  <si>
    <t>557</t>
  </si>
  <si>
    <t>35.</t>
  </si>
  <si>
    <t>Náklady z drobného dlouhodobého majetku</t>
  </si>
  <si>
    <t>558</t>
  </si>
  <si>
    <t>36.</t>
  </si>
  <si>
    <t>Ostatní náklady z činnosti</t>
  </si>
  <si>
    <t>549</t>
  </si>
  <si>
    <t>II.</t>
  </si>
  <si>
    <t>Finanční náklady</t>
  </si>
  <si>
    <t>Prodané cenné papíry a podíly</t>
  </si>
  <si>
    <t>561</t>
  </si>
  <si>
    <t>Úroky</t>
  </si>
  <si>
    <t>562</t>
  </si>
  <si>
    <t>Kurzové ztráty</t>
  </si>
  <si>
    <t>563</t>
  </si>
  <si>
    <t>Náklady z přecenění reálnou hodnotou</t>
  </si>
  <si>
    <t>564</t>
  </si>
  <si>
    <t>Ostatní finanční náklady</t>
  </si>
  <si>
    <t>569</t>
  </si>
  <si>
    <t>III.</t>
  </si>
  <si>
    <t>Náklady na transfery</t>
  </si>
  <si>
    <t>Náklady vybraných ústředních vládních institucí na transfery</t>
  </si>
  <si>
    <t>571</t>
  </si>
  <si>
    <t>Náklady vybraných místních vládních institucí na transfery</t>
  </si>
  <si>
    <t>572</t>
  </si>
  <si>
    <t>V.</t>
  </si>
  <si>
    <t>Daň z příjmů</t>
  </si>
  <si>
    <t>591</t>
  </si>
  <si>
    <t>Dodatečné odvody daně z příjmů</t>
  </si>
  <si>
    <t>595</t>
  </si>
  <si>
    <t>B.</t>
  </si>
  <si>
    <t>Výnosy celkem</t>
  </si>
  <si>
    <t>Výnosy z činnosti</t>
  </si>
  <si>
    <t>Výnosy z prodeje vlastních výrobků</t>
  </si>
  <si>
    <t>601</t>
  </si>
  <si>
    <t>Výnosy z prodeje služeb</t>
  </si>
  <si>
    <t>602</t>
  </si>
  <si>
    <t>Výnosy z pronájmu</t>
  </si>
  <si>
    <t>603</t>
  </si>
  <si>
    <t>Výnosy z prodaného zboží</t>
  </si>
  <si>
    <t>604</t>
  </si>
  <si>
    <t>Jiné výnosy z vlastních výkonů</t>
  </si>
  <si>
    <t>609</t>
  </si>
  <si>
    <t>641</t>
  </si>
  <si>
    <t>642</t>
  </si>
  <si>
    <t>Výnosy z vyřazených pohledávek</t>
  </si>
  <si>
    <t>643</t>
  </si>
  <si>
    <t>Výnosy z prodeje materiálu</t>
  </si>
  <si>
    <t>644</t>
  </si>
  <si>
    <t>Výnosy z prodeje dlouhodobého nehmotného majetku</t>
  </si>
  <si>
    <t>645</t>
  </si>
  <si>
    <t>Výnosy z prodeje dlouhodobého hmotného majetku kromě pozemků</t>
  </si>
  <si>
    <t>646</t>
  </si>
  <si>
    <t>Výnosy z prodeje pozemků</t>
  </si>
  <si>
    <t>647</t>
  </si>
  <si>
    <t>Čerpání fondů</t>
  </si>
  <si>
    <t>648</t>
  </si>
  <si>
    <t>Ostatní výnosy z činnosti</t>
  </si>
  <si>
    <t>649</t>
  </si>
  <si>
    <t>Finanční výnosy</t>
  </si>
  <si>
    <t>Výnosy z prodeje cenných papírů a podílů</t>
  </si>
  <si>
    <t>661</t>
  </si>
  <si>
    <t>662</t>
  </si>
  <si>
    <t>Kurzové zisky</t>
  </si>
  <si>
    <t>663</t>
  </si>
  <si>
    <t>Výnosy z přecenění reálnou hodnotou</t>
  </si>
  <si>
    <t>664</t>
  </si>
  <si>
    <t>Ostatní finanční výnosy</t>
  </si>
  <si>
    <t>669</t>
  </si>
  <si>
    <t>IV.</t>
  </si>
  <si>
    <t>Výnosy z transferů</t>
  </si>
  <si>
    <t>Výnosy vybraných ústředních vládních institucí z transferů</t>
  </si>
  <si>
    <t>671</t>
  </si>
  <si>
    <t>Výnosy vybraných místních vládních institucí z transferů</t>
  </si>
  <si>
    <t>672</t>
  </si>
  <si>
    <t>C.</t>
  </si>
  <si>
    <t>Výsledek hospodaření</t>
  </si>
  <si>
    <t>Výsledek hospodaření před zdaněním</t>
  </si>
  <si>
    <t>Výsledek hospodaření běžného účetního období</t>
  </si>
  <si>
    <t>* Konec sestavy *</t>
  </si>
  <si>
    <t>26.05.2013 15h46m10s</t>
  </si>
  <si>
    <t>Zpracováno systémem  UCR® GORDIC® spol. s  r. o.</t>
  </si>
  <si>
    <t>příl. 2j)</t>
  </si>
  <si>
    <t>13 / 2012</t>
  </si>
  <si>
    <t>70882541</t>
  </si>
  <si>
    <t>MŠ NÁM.OSVOBODITELŮ  P5       1050;3;9</t>
  </si>
  <si>
    <t>26.05.2013 14h24m 0s</t>
  </si>
  <si>
    <t>příl. 2 k)</t>
  </si>
  <si>
    <t>70874255</t>
  </si>
  <si>
    <t>Školní jídelna Praha - Radotín</t>
  </si>
  <si>
    <t>26.05.2013 14h32m40s</t>
  </si>
  <si>
    <t>příl. 2 m)</t>
  </si>
  <si>
    <t>70889678</t>
  </si>
  <si>
    <t>TECHNICKÉ SLUŽ. RADOTÍN</t>
  </si>
  <si>
    <t>26.05.2013 15h34m 4s</t>
  </si>
  <si>
    <t>příl. 2 l)</t>
  </si>
  <si>
    <t>70874263</t>
  </si>
  <si>
    <t>ZŠ LOUČANSKÁ         P5       1161;3;9</t>
  </si>
  <si>
    <t>26.05.2013 14h29m20s</t>
  </si>
  <si>
    <t>Skutečnost 1-12/2012</t>
  </si>
  <si>
    <t>ZMČ 19.12.2011 + UR ZMČ 17.12.2012 + vlastní</t>
  </si>
  <si>
    <t>vlastní úpravy MČ 9/2012</t>
  </si>
  <si>
    <t>vlastní úpravy MČ 12/2012</t>
  </si>
  <si>
    <t>vlastní úpravy po ZMČ 12/2012</t>
  </si>
  <si>
    <t xml:space="preserve">  12/12 =</t>
  </si>
  <si>
    <r>
      <t xml:space="preserve">Výdaje po konsolidaci                            91 345,00         </t>
    </r>
    <r>
      <rPr>
        <b/>
        <sz val="9"/>
        <rFont val="Courier New"/>
        <family val="3"/>
      </rPr>
      <t xml:space="preserve">110 853,90     </t>
    </r>
    <r>
      <rPr>
        <b/>
        <sz val="9"/>
        <color indexed="21"/>
        <rFont val="Courier New"/>
        <family val="3"/>
      </rPr>
      <t>101 905 301,27</t>
    </r>
    <r>
      <rPr>
        <b/>
        <sz val="8"/>
        <rFont val="Courier New"/>
        <family val="3"/>
      </rPr>
      <t xml:space="preserve">    94,71    86,35</t>
    </r>
  </si>
  <si>
    <r>
      <t xml:space="preserve">Příjmy po konsolidaci                            91 345,00         </t>
    </r>
    <r>
      <rPr>
        <b/>
        <sz val="9"/>
        <rFont val="Courier New"/>
        <family val="3"/>
      </rPr>
      <t xml:space="preserve">107 494,30     </t>
    </r>
    <r>
      <rPr>
        <b/>
        <sz val="9"/>
        <color indexed="21"/>
        <rFont val="Courier New"/>
        <family val="3"/>
      </rPr>
      <t>107 398 880,00</t>
    </r>
    <r>
      <rPr>
        <b/>
        <sz val="8"/>
        <rFont val="Courier New"/>
        <family val="3"/>
      </rPr>
      <t xml:space="preserve">    97,44    90,20</t>
    </r>
  </si>
  <si>
    <t>upravený rozpočet 31/12/2012</t>
  </si>
  <si>
    <r>
      <t>dary</t>
    </r>
    <r>
      <rPr>
        <sz val="7"/>
        <rFont val="Arial"/>
        <family val="2"/>
      </rPr>
      <t xml:space="preserve"> 2321 neinv 3121 inv: </t>
    </r>
  </si>
  <si>
    <t>5512 dobrov.hasiči</t>
  </si>
  <si>
    <t>3421 dětská hřiště</t>
  </si>
  <si>
    <t>3745 veř.zeleň</t>
  </si>
  <si>
    <t>3111 mat.škola</t>
  </si>
  <si>
    <t>3141 škol.jídelna</t>
  </si>
  <si>
    <t>3231 zákl.uměl.</t>
  </si>
  <si>
    <t>4351/4 přísp.stravné</t>
  </si>
  <si>
    <t>4319 soc. péče</t>
  </si>
  <si>
    <t>4329 péče o mládež</t>
  </si>
  <si>
    <t>4359 ost.soc</t>
  </si>
  <si>
    <t>3314 knihovna</t>
  </si>
  <si>
    <t>3319 kult.střed</t>
  </si>
  <si>
    <t>3639,3632 techn.sl</t>
  </si>
  <si>
    <t>V Ý D A J E</t>
  </si>
  <si>
    <t>P Ř Í J M Y</t>
  </si>
  <si>
    <t xml:space="preserve"> =250*1397/1000+0,75</t>
  </si>
  <si>
    <t>3121 gymnazium</t>
  </si>
  <si>
    <t>ŠJ objekt</t>
  </si>
  <si>
    <t>Účelové prostředky poskytnuté státem a HMP:</t>
  </si>
  <si>
    <t>účelové dotace CELKEM</t>
  </si>
  <si>
    <t>MČ vlastní CELKEM</t>
  </si>
  <si>
    <t>MČ P 16 CELKEM</t>
  </si>
  <si>
    <t>4351/1 DPS čp. 461</t>
  </si>
  <si>
    <t>org 2 osvětl.kostela</t>
  </si>
  <si>
    <t>org 16 Noviny P 16</t>
  </si>
  <si>
    <t>6171 objekt 732</t>
  </si>
  <si>
    <t>stát:</t>
  </si>
  <si>
    <t>HMP:</t>
  </si>
  <si>
    <t xml:space="preserve">     mzdy st.správa</t>
  </si>
  <si>
    <t xml:space="preserve">     mzdy SPOD</t>
  </si>
  <si>
    <t>1517 MMB</t>
  </si>
  <si>
    <t>dat.schr. 011109</t>
  </si>
  <si>
    <t>výsledek:</t>
  </si>
  <si>
    <t>4351/2 NDPS čp 1522</t>
  </si>
  <si>
    <r>
      <t xml:space="preserve">02 </t>
    </r>
    <r>
      <rPr>
        <sz val="9"/>
        <rFont val="Arial"/>
        <family val="0"/>
      </rPr>
      <t>provoz Sběrn.dv</t>
    </r>
  </si>
  <si>
    <t>dotace stát:</t>
  </si>
  <si>
    <t>vratky dávek:</t>
  </si>
  <si>
    <t>05 MPSV grant PS</t>
  </si>
  <si>
    <t>4112 dotace stát:</t>
  </si>
  <si>
    <t xml:space="preserve">2141 úroky: </t>
  </si>
  <si>
    <t>2460 splátky půjček SFZ:</t>
  </si>
  <si>
    <t>6171 objekt 21</t>
  </si>
  <si>
    <t xml:space="preserve">2210 sankce: </t>
  </si>
  <si>
    <t xml:space="preserve">2212 sankce - splátky: </t>
  </si>
  <si>
    <t>2343 dobýv.prostor:</t>
  </si>
  <si>
    <t>1341-5,7,51 místní poplatky:</t>
  </si>
  <si>
    <t>1361 správní poplatky:</t>
  </si>
  <si>
    <t>1511 daň z nemovitostí:</t>
  </si>
  <si>
    <t>4121 HMP dotace:</t>
  </si>
  <si>
    <t>4131 z účtu ekon.činnosti:</t>
  </si>
  <si>
    <t>2328 neidentifkované příjmy:</t>
  </si>
  <si>
    <t>3319 letopis.komise</t>
  </si>
  <si>
    <t>3319 kronika</t>
  </si>
  <si>
    <t>05   SOC. A  ZDRAV.</t>
  </si>
  <si>
    <t>06   KULTURA  A  SPORT</t>
  </si>
  <si>
    <t>04   Š K O L S T V Í</t>
  </si>
  <si>
    <t>02   ROZVOJ  OBCE</t>
  </si>
  <si>
    <t>03   D O P R A V A</t>
  </si>
  <si>
    <t>09   VNITŘNÍ  SPRÁVA</t>
  </si>
  <si>
    <t>10   FINANCOVÁNÍ</t>
  </si>
  <si>
    <t>3421 org 11106 Skatepark</t>
  </si>
  <si>
    <r>
      <t>2310</t>
    </r>
    <r>
      <rPr>
        <sz val="8"/>
        <rFont val="Arial"/>
        <family val="0"/>
      </rPr>
      <t xml:space="preserve"> voda</t>
    </r>
  </si>
  <si>
    <r>
      <t xml:space="preserve">2219 ost.zál.komun </t>
    </r>
    <r>
      <rPr>
        <sz val="8"/>
        <rFont val="Arial"/>
        <family val="0"/>
      </rPr>
      <t>vč osvětl SH</t>
    </r>
  </si>
  <si>
    <t>05 Příspěvek na péči UZ 13235</t>
  </si>
  <si>
    <r>
      <t>05 SOC</t>
    </r>
    <r>
      <rPr>
        <sz val="8"/>
        <rFont val="Arial"/>
        <family val="0"/>
      </rPr>
      <t xml:space="preserve"> inval -dar.sml</t>
    </r>
  </si>
  <si>
    <t>06 knižní fond</t>
  </si>
  <si>
    <t>09 ZOZ</t>
  </si>
  <si>
    <t>úprava rozpočtu HMP, stát</t>
  </si>
  <si>
    <t>3636 územní rozvoj</t>
  </si>
  <si>
    <t>01   ÚZEMNÍ   ROZVOJ</t>
  </si>
  <si>
    <t>08    HOSPODÁŘSTVÍ</t>
  </si>
  <si>
    <t>výsledek vlastní MČ:</t>
  </si>
  <si>
    <t xml:space="preserve">4351 peč.služba </t>
  </si>
  <si>
    <t>3412 sportoviště</t>
  </si>
  <si>
    <r>
      <t>mobiliář RMČ</t>
    </r>
    <r>
      <rPr>
        <sz val="8"/>
        <rFont val="Arial"/>
        <family val="2"/>
      </rPr>
      <t xml:space="preserve"> 1188/82/2009</t>
    </r>
  </si>
  <si>
    <t>07  B E Z P E Č N O S T</t>
  </si>
  <si>
    <t>05 Hm.nouze a ZP UZ 13306</t>
  </si>
  <si>
    <t>výsledek účelové prostředky:</t>
  </si>
  <si>
    <t>3639 komun.služby</t>
  </si>
  <si>
    <t>mobiliář org 41083</t>
  </si>
  <si>
    <t>09 SLBD UZ 98005</t>
  </si>
  <si>
    <t>09 výkon agendy SPOD UZ 98216</t>
  </si>
  <si>
    <t>09 výkon agendy soc.sl UZ 98116</t>
  </si>
  <si>
    <t xml:space="preserve">     mzdy soc.péče čerpání UZ</t>
  </si>
  <si>
    <t xml:space="preserve">     mzdy SPOD čerpání UZ</t>
  </si>
  <si>
    <t>04 MŠ integrace UZ 091</t>
  </si>
  <si>
    <r>
      <t>6171 úřad provoz</t>
    </r>
    <r>
      <rPr>
        <sz val="8"/>
        <rFont val="Arial"/>
        <family val="2"/>
      </rPr>
      <t xml:space="preserve"> odečet mzd.nákl</t>
    </r>
  </si>
  <si>
    <r>
      <t xml:space="preserve">     mzdy samos</t>
    </r>
    <r>
      <rPr>
        <sz val="9"/>
        <rFont val="Arial"/>
        <family val="2"/>
      </rPr>
      <t>pr. SFZ přísp</t>
    </r>
  </si>
  <si>
    <r>
      <t xml:space="preserve">     mzdy samos</t>
    </r>
    <r>
      <rPr>
        <sz val="9"/>
        <rFont val="Arial"/>
        <family val="2"/>
      </rPr>
      <t>pr. č</t>
    </r>
    <r>
      <rPr>
        <sz val="8"/>
        <rFont val="Arial"/>
        <family val="2"/>
      </rPr>
      <t>erp UZ</t>
    </r>
    <r>
      <rPr>
        <sz val="7"/>
        <rFont val="Arial"/>
        <family val="2"/>
      </rPr>
      <t xml:space="preserve"> (SLBD)</t>
    </r>
  </si>
  <si>
    <r>
      <t xml:space="preserve">     mzdy samos</t>
    </r>
    <r>
      <rPr>
        <sz val="9"/>
        <rFont val="Arial"/>
        <family val="2"/>
      </rPr>
      <t>pr.č</t>
    </r>
    <r>
      <rPr>
        <sz val="8"/>
        <rFont val="Arial"/>
        <family val="2"/>
      </rPr>
      <t>erp ZMČ</t>
    </r>
    <r>
      <rPr>
        <sz val="7"/>
        <rFont val="Arial"/>
        <family val="2"/>
      </rPr>
      <t xml:space="preserve"> odvody</t>
    </r>
  </si>
  <si>
    <r>
      <t xml:space="preserve">6171 objekt 23 </t>
    </r>
    <r>
      <rPr>
        <sz val="8"/>
        <rFont val="Arial"/>
        <family val="2"/>
      </rPr>
      <t>v tom sv.síň</t>
    </r>
  </si>
  <si>
    <r>
      <t xml:space="preserve">dary 2322 </t>
    </r>
    <r>
      <rPr>
        <sz val="8"/>
        <rFont val="Arial"/>
        <family val="2"/>
      </rPr>
      <t>poj.plnění</t>
    </r>
  </si>
  <si>
    <t>04 MŠ odm.zam. UZ 096</t>
  </si>
  <si>
    <t>04 ZŠ odm.zam. UZ 096</t>
  </si>
  <si>
    <t>04 ŠJ odm.zam. UZ 096</t>
  </si>
  <si>
    <t>06 MK inf.síť veř.knih UZ 34053</t>
  </si>
  <si>
    <t>07 UZ 081 JSDH provoz</t>
  </si>
  <si>
    <t xml:space="preserve">výsledek celkem: </t>
  </si>
  <si>
    <t>2219 elektromobilita 25282011</t>
  </si>
  <si>
    <r>
      <t xml:space="preserve">2212 </t>
    </r>
    <r>
      <rPr>
        <sz val="8"/>
        <rFont val="Arial"/>
        <family val="0"/>
      </rPr>
      <t>11023 mostek Na Výšince</t>
    </r>
    <r>
      <rPr>
        <sz val="8"/>
        <rFont val="Arial"/>
        <family val="2"/>
      </rPr>
      <t xml:space="preserve"> krytí DPPO 983,2</t>
    </r>
  </si>
  <si>
    <r>
      <t xml:space="preserve">3612 </t>
    </r>
    <r>
      <rPr>
        <sz val="9"/>
        <rFont val="Arial"/>
        <family val="2"/>
      </rPr>
      <t>SON</t>
    </r>
    <r>
      <rPr>
        <sz val="9"/>
        <rFont val="Arial"/>
        <family val="0"/>
      </rPr>
      <t xml:space="preserve"> správa</t>
    </r>
  </si>
  <si>
    <t>viz st.spr+školství</t>
  </si>
  <si>
    <t>2339 Lávka</t>
  </si>
  <si>
    <t>UR: 24,40</t>
  </si>
  <si>
    <t xml:space="preserve">     mzdy soc.péče skutečnost</t>
  </si>
  <si>
    <t>3421 org 11106 Skatepark UZ 14876</t>
  </si>
  <si>
    <r>
      <t>04 ZŠ příst.křídla</t>
    </r>
    <r>
      <rPr>
        <sz val="8"/>
        <rFont val="Arial"/>
        <family val="0"/>
      </rPr>
      <t xml:space="preserve"> org 41609 UZ 97512 MF </t>
    </r>
    <r>
      <rPr>
        <strike/>
        <sz val="6"/>
        <rFont val="Arial"/>
        <family val="0"/>
      </rPr>
      <t>11122011 krytí DPPO 2.988,6</t>
    </r>
  </si>
  <si>
    <r>
      <t>06 Kino Fond kinem</t>
    </r>
    <r>
      <rPr>
        <sz val="8"/>
        <rFont val="Arial"/>
        <family val="0"/>
      </rPr>
      <t xml:space="preserve"> UZ 93566</t>
    </r>
  </si>
  <si>
    <t>Rozpočet 2012</t>
  </si>
  <si>
    <t>MŠ dofin rek.kuch 41533/2011</t>
  </si>
  <si>
    <t xml:space="preserve"> =2011/2011*(48725*1,025-43,125-49900)+2012/2012*(47914*1,015-32,7)-98116/98116*(12*((24,79+24,01+21,37+22,09+20,09)-0,35-112*0-1344*0)*(1+0,09+0,25)+0,05+1801*0-732/732*210/2*0-1)-46800+(1/1*(899+200)+2/2*(552-92))+3/3*(41901-835+377-712+99-308+36-4068)+4/4*(7471+94+44-343+3000*0+1000*0+90+2000*0-1500)+5/5*111+6/6*152+7/7*32+10/10*(6059-1571)</t>
  </si>
  <si>
    <t xml:space="preserve"> =31120-2071</t>
  </si>
  <si>
    <r>
      <t>3113 zákl.škola+</t>
    </r>
    <r>
      <rPr>
        <sz val="9"/>
        <rFont val="Arial"/>
        <family val="2"/>
      </rPr>
      <t>RMČ</t>
    </r>
  </si>
  <si>
    <t>3313 kino</t>
  </si>
  <si>
    <t>2329 nahodilé (z r. 2011):</t>
  </si>
  <si>
    <t>2229 ost.vratky transferů</t>
  </si>
  <si>
    <r>
      <t>2321</t>
    </r>
    <r>
      <rPr>
        <sz val="8"/>
        <rFont val="Arial"/>
        <family val="2"/>
      </rPr>
      <t xml:space="preserve"> odp. voda </t>
    </r>
    <r>
      <rPr>
        <sz val="7"/>
        <rFont val="Arial"/>
        <family val="2"/>
      </rPr>
      <t>3722 odpady</t>
    </r>
  </si>
  <si>
    <r>
      <t xml:space="preserve">3639,3632 techn.sl </t>
    </r>
    <r>
      <rPr>
        <sz val="9"/>
        <rFont val="Arial"/>
        <family val="2"/>
      </rPr>
      <t>provoz</t>
    </r>
  </si>
  <si>
    <r>
      <t>org 24121</t>
    </r>
    <r>
      <rPr>
        <sz val="9"/>
        <rFont val="Arial"/>
        <family val="2"/>
      </rPr>
      <t>2</t>
    </r>
    <r>
      <rPr>
        <sz val="9"/>
        <rFont val="Arial"/>
        <family val="0"/>
      </rPr>
      <t xml:space="preserve"> vánoce</t>
    </r>
  </si>
  <si>
    <r>
      <t>2221 FV 201</t>
    </r>
    <r>
      <rPr>
        <sz val="8"/>
        <rFont val="Arial"/>
        <family val="2"/>
      </rPr>
      <t>1</t>
    </r>
    <r>
      <rPr>
        <sz val="8"/>
        <rFont val="Arial"/>
        <family val="0"/>
      </rPr>
      <t>:</t>
    </r>
  </si>
  <si>
    <t>obchod s el.en. Org 3102011</t>
  </si>
  <si>
    <t>1003 6310 pol 5163 popl SFZ</t>
  </si>
  <si>
    <t>1003 6330 pol 5342 tvorba SFZ</t>
  </si>
  <si>
    <r>
      <t xml:space="preserve">     mzdy samos</t>
    </r>
    <r>
      <rPr>
        <sz val="9"/>
        <rFont val="Arial"/>
        <family val="2"/>
      </rPr>
      <t>pr.</t>
    </r>
    <r>
      <rPr>
        <sz val="8"/>
        <rFont val="Arial"/>
        <family val="2"/>
      </rPr>
      <t>převod do EČ,BH</t>
    </r>
  </si>
  <si>
    <t>05 Soc.dávky nevypl 2011 UZ 13008</t>
  </si>
  <si>
    <t>VHP pro INV (ZŠ+MŠ)</t>
  </si>
  <si>
    <t>4121 výnos DPPO za r. 2011:</t>
  </si>
  <si>
    <t>vč.pov.poj. 3.978,38</t>
  </si>
  <si>
    <t>04 UZ 093 ZŠ údržba+sl čp 102 (odv VHP)</t>
  </si>
  <si>
    <t>z VHP vyčerpáno:</t>
  </si>
  <si>
    <t>3639 techn.sl činnost pro MČ účel</t>
  </si>
  <si>
    <t>škol účel:</t>
  </si>
  <si>
    <t>MČ:</t>
  </si>
  <si>
    <t>4185 soc.dávky 2011 (účel)</t>
  </si>
  <si>
    <t>vlastní úpravy MČ 3,6/2012</t>
  </si>
  <si>
    <r>
      <t xml:space="preserve">zatepl 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MŠ III </t>
    </r>
    <r>
      <rPr>
        <sz val="8"/>
        <rFont val="Arial"/>
        <family val="2"/>
      </rPr>
      <t>11102012 + údržba</t>
    </r>
  </si>
  <si>
    <r>
      <t xml:space="preserve">ZŠ objekty </t>
    </r>
    <r>
      <rPr>
        <sz val="8"/>
        <rFont val="Arial"/>
        <family val="2"/>
      </rPr>
      <t>inv org 11122011+41609</t>
    </r>
  </si>
  <si>
    <r>
      <t>3539 org 1100 NZ</t>
    </r>
    <r>
      <rPr>
        <sz val="8"/>
        <rFont val="Arial"/>
        <family val="0"/>
      </rPr>
      <t>Z digit.rent</t>
    </r>
  </si>
  <si>
    <r>
      <t>3319 kult.střed</t>
    </r>
    <r>
      <rPr>
        <sz val="8"/>
        <rFont val="Arial"/>
        <family val="2"/>
      </rPr>
      <t xml:space="preserve"> rekonstr  41534                    </t>
    </r>
    <r>
      <rPr>
        <sz val="7"/>
        <rFont val="Arial"/>
        <family val="2"/>
      </rPr>
      <t>UR z 2011: 2.707.570,80  FV</t>
    </r>
  </si>
  <si>
    <r>
      <t>3319 kult.akce</t>
    </r>
    <r>
      <rPr>
        <sz val="9"/>
        <rFont val="Arial"/>
        <family val="2"/>
      </rPr>
      <t xml:space="preserve"> vč.záj. s dětmi</t>
    </r>
    <r>
      <rPr>
        <sz val="8"/>
        <rFont val="Arial"/>
        <family val="2"/>
      </rPr>
      <t xml:space="preserve"> (R 4329 skut 4379)</t>
    </r>
  </si>
  <si>
    <r>
      <t>3612 bytové hosp.</t>
    </r>
    <r>
      <rPr>
        <sz val="7"/>
        <rFont val="Arial"/>
        <family val="2"/>
      </rPr>
      <t xml:space="preserve">       v tom                         Sídliště BD zateplení 5.000 start.byty 10712</t>
    </r>
  </si>
  <si>
    <r>
      <t>3612 byt.hosp-</t>
    </r>
    <r>
      <rPr>
        <sz val="8"/>
        <rFont val="Arial"/>
        <family val="2"/>
      </rPr>
      <t>akce rozúčt.energií org 42012</t>
    </r>
  </si>
  <si>
    <r>
      <t>invest.akce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vč. demol.obj. org 109</t>
    </r>
  </si>
  <si>
    <r>
      <t xml:space="preserve">kulturní akce </t>
    </r>
    <r>
      <rPr>
        <sz val="8"/>
        <rFont val="Arial"/>
        <family val="2"/>
      </rPr>
      <t>1310 Hav.posv</t>
    </r>
  </si>
  <si>
    <r>
      <t xml:space="preserve">2329 org </t>
    </r>
    <r>
      <rPr>
        <sz val="7"/>
        <rFont val="Arial"/>
        <family val="2"/>
      </rPr>
      <t>131012</t>
    </r>
    <r>
      <rPr>
        <sz val="7"/>
        <rFont val="Arial"/>
        <family val="0"/>
      </rPr>
      <t xml:space="preserve"> Hav.posv</t>
    </r>
  </si>
  <si>
    <r>
      <t>různé organizační</t>
    </r>
    <r>
      <rPr>
        <sz val="8"/>
        <rFont val="Arial"/>
        <family val="0"/>
      </rPr>
      <t xml:space="preserve"> vč </t>
    </r>
    <r>
      <rPr>
        <sz val="7"/>
        <rFont val="Arial"/>
        <family val="0"/>
      </rPr>
      <t>153;2105; 2098; 143719;</t>
    </r>
    <r>
      <rPr>
        <sz val="8"/>
        <rFont val="Arial"/>
        <family val="0"/>
      </rPr>
      <t xml:space="preserve"> </t>
    </r>
    <r>
      <rPr>
        <sz val="7"/>
        <rFont val="Arial"/>
        <family val="0"/>
      </rPr>
      <t>o.p.s. 350; 4;</t>
    </r>
    <r>
      <rPr>
        <sz val="7"/>
        <rFont val="Arial"/>
        <family val="2"/>
      </rPr>
      <t>1368;1379;1111</t>
    </r>
  </si>
  <si>
    <r>
      <t>2329 nahodilé (z r. 201</t>
    </r>
    <r>
      <rPr>
        <sz val="8"/>
        <rFont val="Arial"/>
        <family val="2"/>
      </rPr>
      <t>1</t>
    </r>
    <r>
      <rPr>
        <sz val="8"/>
        <rFont val="Arial"/>
        <family val="0"/>
      </rPr>
      <t>):</t>
    </r>
  </si>
  <si>
    <r>
      <t>05 pro PS Grant soc.péče</t>
    </r>
    <r>
      <rPr>
        <sz val="7"/>
        <rFont val="Arial"/>
        <family val="0"/>
      </rPr>
      <t xml:space="preserve"> </t>
    </r>
    <r>
      <rPr>
        <sz val="8"/>
        <rFont val="Arial"/>
        <family val="0"/>
      </rPr>
      <t>org 2364xx1,3</t>
    </r>
  </si>
  <si>
    <r>
      <t>04 prevence</t>
    </r>
    <r>
      <rPr>
        <sz val="8"/>
        <rFont val="Arial"/>
        <family val="0"/>
      </rPr>
      <t xml:space="preserve"> protidrog </t>
    </r>
    <r>
      <rPr>
        <sz val="9"/>
        <rFont val="Arial"/>
        <family val="0"/>
      </rPr>
      <t>ZŠ 081</t>
    </r>
  </si>
  <si>
    <t>nákl.opatr MČ</t>
  </si>
  <si>
    <t>3639 kom.služby a územní rozvoj</t>
  </si>
  <si>
    <t>09 volby prezident UZ 98008</t>
  </si>
  <si>
    <t>09 volby Senát UZ 98193</t>
  </si>
  <si>
    <t xml:space="preserve"> nedočerpáno</t>
  </si>
  <si>
    <r>
      <t xml:space="preserve">3722 </t>
    </r>
    <r>
      <rPr>
        <sz val="9"/>
        <rFont val="Arial"/>
        <family val="2"/>
      </rPr>
      <t>čistící stroje pro TS</t>
    </r>
  </si>
  <si>
    <r>
      <t xml:space="preserve">2212 silnice </t>
    </r>
    <r>
      <rPr>
        <sz val="9"/>
        <rFont val="Arial"/>
        <family val="2"/>
      </rPr>
      <t>vč. 099 DPPO 346,0</t>
    </r>
  </si>
  <si>
    <r>
      <t xml:space="preserve">ZŠ objekty </t>
    </r>
    <r>
      <rPr>
        <sz val="9"/>
        <rFont val="Arial"/>
        <family val="2"/>
      </rPr>
      <t>v tom</t>
    </r>
    <r>
      <rPr>
        <sz val="8"/>
        <rFont val="Arial"/>
        <family val="2"/>
      </rPr>
      <t xml:space="preserve"> 93 VHP: </t>
    </r>
    <r>
      <rPr>
        <i/>
        <sz val="8"/>
        <rFont val="Arial"/>
        <family val="2"/>
      </rPr>
      <t>35+7</t>
    </r>
    <r>
      <rPr>
        <sz val="8"/>
        <rFont val="Arial"/>
        <family val="2"/>
      </rPr>
      <t xml:space="preserve">; 99 DPPO: </t>
    </r>
    <r>
      <rPr>
        <i/>
        <sz val="8"/>
        <rFont val="Arial"/>
        <family val="2"/>
      </rPr>
      <t>25</t>
    </r>
  </si>
  <si>
    <t>4351/3 SZ (vybav)</t>
  </si>
  <si>
    <r>
      <t xml:space="preserve">3412 sport.hala </t>
    </r>
    <r>
      <rPr>
        <sz val="9"/>
        <rFont val="Arial"/>
        <family val="2"/>
      </rPr>
      <t>vč 3419</t>
    </r>
  </si>
  <si>
    <r>
      <t xml:space="preserve">6112 ZMČ </t>
    </r>
    <r>
      <rPr>
        <sz val="9"/>
        <rFont val="Arial"/>
        <family val="2"/>
      </rPr>
      <t>UR rezerva 2013 200,0</t>
    </r>
  </si>
  <si>
    <r>
      <t xml:space="preserve">6171 úřad provoz </t>
    </r>
    <r>
      <rPr>
        <sz val="9"/>
        <rFont val="Arial"/>
        <family val="2"/>
      </rPr>
      <t>vč Bezp.jaro UR rezerva 2013 1.000,0</t>
    </r>
  </si>
  <si>
    <r>
      <t>org</t>
    </r>
    <r>
      <rPr>
        <sz val="8"/>
        <rFont val="Arial"/>
        <family val="2"/>
      </rPr>
      <t xml:space="preserve"> 241211 </t>
    </r>
    <r>
      <rPr>
        <sz val="9"/>
        <rFont val="Arial"/>
        <family val="0"/>
      </rPr>
      <t xml:space="preserve">55,96 vánoce </t>
    </r>
    <r>
      <rPr>
        <sz val="8"/>
        <rFont val="Arial"/>
        <family val="2"/>
      </rPr>
      <t>241212</t>
    </r>
    <r>
      <rPr>
        <sz val="9"/>
        <rFont val="Arial"/>
        <family val="2"/>
      </rPr>
      <t xml:space="preserve"> </t>
    </r>
  </si>
  <si>
    <r>
      <t>09 Grant soc.péče</t>
    </r>
    <r>
      <rPr>
        <sz val="7"/>
        <rFont val="Arial"/>
        <family val="0"/>
      </rPr>
      <t xml:space="preserve"> </t>
    </r>
    <r>
      <rPr>
        <sz val="8"/>
        <rFont val="Arial"/>
        <family val="0"/>
      </rPr>
      <t>org 2364xx1,3</t>
    </r>
  </si>
  <si>
    <t>04 ZŠ integr UZ 091 5/+11/166,3</t>
  </si>
  <si>
    <r>
      <t>04</t>
    </r>
    <r>
      <rPr>
        <sz val="8"/>
        <rFont val="Arial"/>
        <family val="0"/>
      </rPr>
      <t xml:space="preserve"> 41749 </t>
    </r>
    <r>
      <rPr>
        <sz val="9"/>
        <rFont val="Arial"/>
        <family val="0"/>
      </rPr>
      <t>MŠ Sídl zatepl  UZ 084</t>
    </r>
  </si>
  <si>
    <r>
      <t xml:space="preserve">06 41534 KS rekonstruce UZ 090 </t>
    </r>
    <r>
      <rPr>
        <sz val="7"/>
        <rFont val="Arial"/>
        <family val="0"/>
      </rPr>
      <t>ponecháno z r. 2011</t>
    </r>
  </si>
  <si>
    <r>
      <t>nedočerpáno</t>
    </r>
    <r>
      <rPr>
        <sz val="7"/>
        <color indexed="12"/>
        <rFont val="Arial"/>
        <family val="0"/>
      </rPr>
      <t xml:space="preserve"> vč ponech z r. 2011</t>
    </r>
  </si>
  <si>
    <t>celkem:</t>
  </si>
  <si>
    <t>ponech z 2011:</t>
  </si>
  <si>
    <t>celkem 2012:</t>
  </si>
  <si>
    <t xml:space="preserve">výsledek: </t>
  </si>
  <si>
    <t>příjmy:</t>
  </si>
  <si>
    <t>výdaje:</t>
  </si>
  <si>
    <r>
      <t xml:space="preserve">04 UZ </t>
    </r>
    <r>
      <rPr>
        <strike/>
        <sz val="9"/>
        <rFont val="Arial"/>
        <family val="0"/>
      </rPr>
      <t>093</t>
    </r>
    <r>
      <rPr>
        <sz val="9"/>
        <rFont val="Arial"/>
        <family val="0"/>
      </rPr>
      <t xml:space="preserve"> ZŠ dofin příst.</t>
    </r>
    <r>
      <rPr>
        <sz val="8"/>
        <rFont val="Arial"/>
        <family val="2"/>
      </rPr>
      <t xml:space="preserve"> (odv VHP)</t>
    </r>
  </si>
  <si>
    <r>
      <t xml:space="preserve">04 UZ </t>
    </r>
    <r>
      <rPr>
        <strike/>
        <sz val="9"/>
        <rFont val="Arial"/>
        <family val="0"/>
      </rPr>
      <t>093</t>
    </r>
    <r>
      <rPr>
        <sz val="9"/>
        <rFont val="Arial"/>
        <family val="0"/>
      </rPr>
      <t xml:space="preserve"> MŠ dofin zatepl.</t>
    </r>
    <r>
      <rPr>
        <sz val="8"/>
        <rFont val="Arial"/>
        <family val="2"/>
      </rPr>
      <t xml:space="preserve"> (odv VHP)</t>
    </r>
  </si>
  <si>
    <r>
      <t>05 UZ 098 Péče o mládež mater účel</t>
    </r>
    <r>
      <rPr>
        <sz val="8"/>
        <rFont val="Arial"/>
        <family val="2"/>
      </rPr>
      <t xml:space="preserve"> z odv VHP </t>
    </r>
    <r>
      <rPr>
        <sz val="9"/>
        <rFont val="Arial"/>
        <family val="0"/>
      </rPr>
      <t>do r. 2013 45,0</t>
    </r>
  </si>
  <si>
    <r>
      <t>05 UZ 098 Péče balíčky účel</t>
    </r>
    <r>
      <rPr>
        <sz val="8"/>
        <rFont val="Arial"/>
        <family val="2"/>
      </rPr>
      <t xml:space="preserve"> z odv VHP </t>
    </r>
    <r>
      <rPr>
        <sz val="9"/>
        <rFont val="Arial"/>
        <family val="0"/>
      </rPr>
      <t>do r. 2013 82,8</t>
    </r>
  </si>
  <si>
    <r>
      <t>06 UZ 098 Os. TV účel</t>
    </r>
    <r>
      <rPr>
        <sz val="8"/>
        <rFont val="Arial"/>
        <family val="2"/>
      </rPr>
      <t xml:space="preserve"> z odv VHP </t>
    </r>
    <r>
      <rPr>
        <sz val="9"/>
        <rFont val="Arial"/>
        <family val="0"/>
      </rPr>
      <t>do r. 2013 127,7</t>
    </r>
  </si>
  <si>
    <r>
      <t>06 UZ 098 Volný čas dětí mater+údržba účel</t>
    </r>
    <r>
      <rPr>
        <sz val="8"/>
        <rFont val="Arial"/>
        <family val="2"/>
      </rPr>
      <t xml:space="preserve"> z odv VHP</t>
    </r>
  </si>
  <si>
    <r>
      <t>06 UZ 098 KS dofin KLUB účel</t>
    </r>
    <r>
      <rPr>
        <sz val="8"/>
        <rFont val="Arial"/>
        <family val="2"/>
      </rPr>
      <t xml:space="preserve"> z odv VHP</t>
    </r>
  </si>
  <si>
    <r>
      <t>4379 péče o seniory</t>
    </r>
    <r>
      <rPr>
        <sz val="8"/>
        <rFont val="Arial"/>
        <family val="2"/>
      </rPr>
      <t xml:space="preserve"> vč.zájezdů a Mostu k domovu </t>
    </r>
    <r>
      <rPr>
        <sz val="9"/>
        <rFont val="Arial"/>
        <family val="2"/>
      </rPr>
      <t>do r. 2013 82,8</t>
    </r>
  </si>
  <si>
    <t>Výdaje / náklady</t>
  </si>
  <si>
    <t>Příjmy / výnosy</t>
  </si>
  <si>
    <t>Výsledek celkem</t>
  </si>
  <si>
    <t>Hlavní činnost</t>
  </si>
  <si>
    <t>ekonomická činnost</t>
  </si>
  <si>
    <t>celkem</t>
  </si>
  <si>
    <r>
      <t>dary</t>
    </r>
    <r>
      <rPr>
        <sz val="7"/>
        <rFont val="Arial"/>
        <family val="2"/>
      </rPr>
      <t xml:space="preserve"> 2321 neinv 3121 inv 4129 SO: </t>
    </r>
  </si>
  <si>
    <t>rozdělení výnosu loterií (VHP)</t>
  </si>
  <si>
    <t>výnosy celkem:</t>
  </si>
  <si>
    <t>výdaje využito v 2012:</t>
  </si>
  <si>
    <t>výdaje ponecháno do r. 2013:</t>
  </si>
  <si>
    <t xml:space="preserve">výsledek 2012: </t>
  </si>
  <si>
    <r>
      <t xml:space="preserve">     mzdy samospráva vč. pov.odv          </t>
    </r>
    <r>
      <rPr>
        <strike/>
        <sz val="9"/>
        <rFont val="Arial"/>
        <family val="2"/>
      </rPr>
      <t>samospr.</t>
    </r>
  </si>
  <si>
    <r>
      <t xml:space="preserve">05 3541 prevence </t>
    </r>
    <r>
      <rPr>
        <sz val="8"/>
        <rFont val="Arial"/>
        <family val="0"/>
      </rPr>
      <t>protidrog SO P16 081</t>
    </r>
  </si>
  <si>
    <t>L e d e n - p r o s i n e c    2 0 1 2   v ý n o s y</t>
  </si>
  <si>
    <t>L e d e n - p r o s i n e c    2 0 1 2   n á k l a d y</t>
  </si>
  <si>
    <t>602 prodej služeb</t>
  </si>
  <si>
    <t>603       pronájem</t>
  </si>
  <si>
    <t>604 prodej zboží</t>
  </si>
  <si>
    <t>639 ost.daně</t>
  </si>
  <si>
    <r>
      <t>641 penále 642</t>
    </r>
    <r>
      <rPr>
        <b/>
        <i/>
        <sz val="7"/>
        <rFont val="Arial CE"/>
        <family val="0"/>
      </rPr>
      <t xml:space="preserve"> jiné pok.a pen</t>
    </r>
  </si>
  <si>
    <t>644 úroky</t>
  </si>
  <si>
    <t>649 jiné ost.výnosy</t>
  </si>
  <si>
    <r>
      <t xml:space="preserve">prodej  647 </t>
    </r>
    <r>
      <rPr>
        <b/>
        <i/>
        <sz val="7"/>
        <rFont val="Arial CE"/>
        <family val="0"/>
      </rPr>
      <t xml:space="preserve">pozemků </t>
    </r>
    <r>
      <rPr>
        <b/>
        <i/>
        <sz val="8"/>
        <rFont val="Arial CE"/>
        <family val="0"/>
      </rPr>
      <t>646</t>
    </r>
    <r>
      <rPr>
        <b/>
        <i/>
        <sz val="7"/>
        <rFont val="Arial CE"/>
        <family val="0"/>
      </rPr>
      <t xml:space="preserve"> </t>
    </r>
    <r>
      <rPr>
        <b/>
        <i/>
        <sz val="6"/>
        <rFont val="Arial CE"/>
        <family val="0"/>
      </rPr>
      <t>651</t>
    </r>
    <r>
      <rPr>
        <b/>
        <i/>
        <sz val="8"/>
        <rFont val="Arial CE"/>
        <family val="2"/>
      </rPr>
      <t xml:space="preserve"> </t>
    </r>
    <r>
      <rPr>
        <b/>
        <i/>
        <sz val="7"/>
        <rFont val="Arial CE"/>
        <family val="0"/>
      </rPr>
      <t>NIM a HIM</t>
    </r>
  </si>
  <si>
    <t>662   úroky</t>
  </si>
  <si>
    <t>výnosy</t>
  </si>
  <si>
    <t>501 materiál</t>
  </si>
  <si>
    <t>502 energie</t>
  </si>
  <si>
    <r>
      <t xml:space="preserve">503 ost. </t>
    </r>
    <r>
      <rPr>
        <b/>
        <i/>
        <sz val="7"/>
        <rFont val="Arial CE"/>
        <family val="2"/>
      </rPr>
      <t>neskl.dod</t>
    </r>
  </si>
  <si>
    <r>
      <t xml:space="preserve"> 511 </t>
    </r>
    <r>
      <rPr>
        <i/>
        <sz val="7"/>
        <rFont val="Arial CE"/>
        <family val="2"/>
      </rPr>
      <t xml:space="preserve">opr. a údržba                            </t>
    </r>
    <r>
      <rPr>
        <b/>
        <i/>
        <sz val="8"/>
        <rFont val="Arial CE"/>
        <family val="2"/>
      </rPr>
      <t>512</t>
    </r>
    <r>
      <rPr>
        <i/>
        <sz val="7"/>
        <rFont val="Arial CE"/>
        <family val="2"/>
      </rPr>
      <t xml:space="preserve"> cestovné</t>
    </r>
  </si>
  <si>
    <t>518 ost.služby</t>
  </si>
  <si>
    <t>521 mzd.nákl</t>
  </si>
  <si>
    <t>524 zák.soc.poj</t>
  </si>
  <si>
    <t>532 DzN 538 daně a popl</t>
  </si>
  <si>
    <t>542 ost. pok. a pen</t>
  </si>
  <si>
    <t>543 odpis nedobyt</t>
  </si>
  <si>
    <r>
      <t>541</t>
    </r>
    <r>
      <rPr>
        <b/>
        <i/>
        <sz val="7"/>
        <rFont val="Arial CE"/>
        <family val="0"/>
      </rPr>
      <t xml:space="preserve"> jiné pok a pen </t>
    </r>
    <r>
      <rPr>
        <b/>
        <i/>
        <sz val="8"/>
        <rFont val="Arial CE"/>
        <family val="2"/>
      </rPr>
      <t>542</t>
    </r>
    <r>
      <rPr>
        <b/>
        <i/>
        <sz val="7"/>
        <rFont val="Arial CE"/>
        <family val="2"/>
      </rPr>
      <t xml:space="preserve"> pok.a pen. </t>
    </r>
    <r>
      <rPr>
        <b/>
        <i/>
        <sz val="8"/>
        <rFont val="Arial CE"/>
        <family val="2"/>
      </rPr>
      <t>549</t>
    </r>
    <r>
      <rPr>
        <b/>
        <i/>
        <sz val="7"/>
        <rFont val="Arial CE"/>
        <family val="2"/>
      </rPr>
      <t xml:space="preserve"> jiné ost.nákl</t>
    </r>
  </si>
  <si>
    <r>
      <t>55</t>
    </r>
    <r>
      <rPr>
        <b/>
        <i/>
        <sz val="8"/>
        <rFont val="Arial CE"/>
        <family val="0"/>
      </rPr>
      <t>3/554</t>
    </r>
    <r>
      <rPr>
        <b/>
        <i/>
        <sz val="7"/>
        <rFont val="Arial CE"/>
        <family val="0"/>
      </rPr>
      <t xml:space="preserve"> zůst. cena prod</t>
    </r>
  </si>
  <si>
    <r>
      <t xml:space="preserve">556 opr.pol. </t>
    </r>
    <r>
      <rPr>
        <b/>
        <i/>
        <sz val="8"/>
        <rFont val="Arial CE"/>
        <family val="2"/>
      </rPr>
      <t>569 ost.fin.nákl  557 nákl.z pohl</t>
    </r>
  </si>
  <si>
    <t>náklady</t>
  </si>
  <si>
    <t>zisk (+) ztráta (-)</t>
  </si>
  <si>
    <t>xx</t>
  </si>
  <si>
    <r>
      <t>xx org 130 (</t>
    </r>
    <r>
      <rPr>
        <i/>
        <sz val="8"/>
        <rFont val="Arial CE"/>
        <family val="0"/>
      </rPr>
      <t>070)</t>
    </r>
    <r>
      <rPr>
        <i/>
        <sz val="8"/>
        <rFont val="Arial CE"/>
        <family val="2"/>
      </rPr>
      <t xml:space="preserve"> SON čp. 1600</t>
    </r>
  </si>
  <si>
    <t xml:space="preserve"> DPPO: 27/27*-2.761.636,87</t>
  </si>
  <si>
    <t>4 NZZ</t>
  </si>
  <si>
    <t>16 Noviny P 16</t>
  </si>
  <si>
    <t>18 FWE odvod FŽP</t>
  </si>
  <si>
    <t>21 čp. ubyt. (střecha)</t>
  </si>
  <si>
    <t>23  kniha o Radotínu prod 45 ks</t>
  </si>
  <si>
    <r>
      <t>61,74,</t>
    </r>
    <r>
      <rPr>
        <i/>
        <sz val="8"/>
        <rFont val="Arial CE"/>
        <family val="2"/>
      </rPr>
      <t>75 Vinohrady</t>
    </r>
  </si>
  <si>
    <t>98 pronajaté obj.</t>
  </si>
  <si>
    <r>
      <t>338 trafika/WC provoz</t>
    </r>
    <r>
      <rPr>
        <i/>
        <sz val="8"/>
        <rFont val="Arial CE"/>
        <family val="0"/>
      </rPr>
      <t xml:space="preserve"> sml 2515/11</t>
    </r>
  </si>
  <si>
    <t>461 DPS</t>
  </si>
  <si>
    <r>
      <t xml:space="preserve">čp. </t>
    </r>
    <r>
      <rPr>
        <i/>
        <sz val="8"/>
        <rFont val="Arial CE"/>
        <family val="0"/>
      </rPr>
      <t>5,</t>
    </r>
    <r>
      <rPr>
        <i/>
        <sz val="8"/>
        <rFont val="Arial CE"/>
        <family val="2"/>
      </rPr>
      <t>62,64,74,75,954</t>
    </r>
  </si>
  <si>
    <r>
      <t xml:space="preserve">čp. 1061,1062, </t>
    </r>
    <r>
      <rPr>
        <i/>
        <sz val="8"/>
        <rFont val="Arial"/>
        <family val="2"/>
      </rPr>
      <t>1063</t>
    </r>
  </si>
  <si>
    <r>
      <t xml:space="preserve">čp. </t>
    </r>
    <r>
      <rPr>
        <i/>
        <sz val="8"/>
        <rFont val="Arial"/>
        <family val="2"/>
      </rPr>
      <t>1065,1066,</t>
    </r>
    <r>
      <rPr>
        <i/>
        <sz val="8"/>
        <rFont val="Arial"/>
        <family val="2"/>
      </rPr>
      <t>1067,1068</t>
    </r>
  </si>
  <si>
    <r>
      <t>čp. 1069,1070,</t>
    </r>
    <r>
      <rPr>
        <i/>
        <sz val="8"/>
        <rFont val="Arial CE"/>
        <family val="0"/>
      </rPr>
      <t>1071,</t>
    </r>
    <r>
      <rPr>
        <i/>
        <strike/>
        <sz val="8"/>
        <rFont val="Arial CE"/>
        <family val="0"/>
      </rPr>
      <t>72-73</t>
    </r>
  </si>
  <si>
    <r>
      <t xml:space="preserve">čp </t>
    </r>
    <r>
      <rPr>
        <i/>
        <sz val="8"/>
        <rFont val="Arial CE"/>
        <family val="0"/>
      </rPr>
      <t>1074,</t>
    </r>
    <r>
      <rPr>
        <i/>
        <sz val="8"/>
        <rFont val="Arial CE"/>
        <family val="2"/>
      </rPr>
      <t>1075</t>
    </r>
  </si>
  <si>
    <t>čp. 1078,1079</t>
  </si>
  <si>
    <t>čp. 1080,1081,1082 rek.bytu 169.994,50</t>
  </si>
  <si>
    <t>čp. 1100</t>
  </si>
  <si>
    <t>čp. 1111 Fitline okna 2394/10</t>
  </si>
  <si>
    <t>čp. 102 a čp. 1112</t>
  </si>
  <si>
    <r>
      <t>čp. 1251</t>
    </r>
    <r>
      <rPr>
        <i/>
        <sz val="8"/>
        <rFont val="Arial CE"/>
        <family val="2"/>
      </rPr>
      <t xml:space="preserve">, </t>
    </r>
    <r>
      <rPr>
        <i/>
        <sz val="8"/>
        <rFont val="Arial CE"/>
        <family val="0"/>
      </rPr>
      <t>čp. 1367, 1368</t>
    </r>
  </si>
  <si>
    <t>čp. 1367</t>
  </si>
  <si>
    <t>čp. 1368</t>
  </si>
  <si>
    <t>čp. 1379</t>
  </si>
  <si>
    <t>čp. 1517 NDPS</t>
  </si>
  <si>
    <r>
      <t>4520 DS</t>
    </r>
    <r>
      <rPr>
        <i/>
        <sz val="7"/>
        <rFont val="Arial CE"/>
        <family val="0"/>
      </rPr>
      <t xml:space="preserve"> nebyt </t>
    </r>
    <r>
      <rPr>
        <i/>
        <sz val="8"/>
        <rFont val="Arial CE"/>
        <family val="0"/>
      </rPr>
      <t>G org 1517</t>
    </r>
  </si>
  <si>
    <t>1522 MMB</t>
  </si>
  <si>
    <t>1600 SON správa+ parkování</t>
  </si>
  <si>
    <t>2098 Na Bet</t>
  </si>
  <si>
    <t>2105 dřevák Sebast</t>
  </si>
  <si>
    <t>992 Na Viničkách</t>
  </si>
  <si>
    <t>1043 Nýřanská</t>
  </si>
  <si>
    <t>2011 Farmářské trhy</t>
  </si>
  <si>
    <t>prodej poz.p.č. 2138</t>
  </si>
  <si>
    <r>
      <t>prodej poz.p.č. 2610/4</t>
    </r>
    <r>
      <rPr>
        <i/>
        <sz val="7"/>
        <rFont val="Arial CE"/>
        <family val="0"/>
      </rPr>
      <t xml:space="preserve"> </t>
    </r>
    <r>
      <rPr>
        <i/>
        <sz val="8"/>
        <rFont val="Arial CE"/>
        <family val="0"/>
      </rPr>
      <t>Kauckých</t>
    </r>
  </si>
  <si>
    <t>prodej poz.p.č. 975</t>
  </si>
  <si>
    <t>prodej poz.p.č. 357/28</t>
  </si>
  <si>
    <r>
      <t xml:space="preserve">3311 </t>
    </r>
    <r>
      <rPr>
        <i/>
        <sz val="8"/>
        <rFont val="Arial CE"/>
        <family val="0"/>
      </rPr>
      <t>? MŠ Sídliště</t>
    </r>
  </si>
  <si>
    <t>BH nájemné byty:</t>
  </si>
  <si>
    <t>3313/1 KLUB kino</t>
  </si>
  <si>
    <r>
      <t xml:space="preserve">BH </t>
    </r>
    <r>
      <rPr>
        <b/>
        <sz val="7"/>
        <rFont val="Arial CE"/>
        <family val="2"/>
      </rPr>
      <t>nájemné nebyty</t>
    </r>
    <r>
      <rPr>
        <b/>
        <sz val="8"/>
        <rFont val="Arial CE"/>
        <family val="2"/>
      </rPr>
      <t>:</t>
    </r>
  </si>
  <si>
    <t>nájemné nebyty:</t>
  </si>
  <si>
    <r>
      <t xml:space="preserve">3319 kult.stř </t>
    </r>
    <r>
      <rPr>
        <i/>
        <sz val="8"/>
        <rFont val="Arial CE"/>
        <family val="0"/>
      </rPr>
      <t>čp. 44</t>
    </r>
  </si>
  <si>
    <t>nájemné pozemky:</t>
  </si>
  <si>
    <t>3632 hrob.místa</t>
  </si>
  <si>
    <t>nájemné hrob.místa:</t>
  </si>
  <si>
    <t>4522 rekr.zař</t>
  </si>
  <si>
    <t>nájemné PS jídlonosiče</t>
  </si>
  <si>
    <r>
      <t>5163 bank.popl</t>
    </r>
    <r>
      <rPr>
        <i/>
        <sz val="8"/>
        <rFont val="Arial CE"/>
        <family val="0"/>
      </rPr>
      <t xml:space="preserve"> nákl: 569 !!</t>
    </r>
  </si>
  <si>
    <t>nájemné věcná břemena:</t>
  </si>
  <si>
    <t>převod na SU 602</t>
  </si>
  <si>
    <r>
      <t>5164 bank.popl BH</t>
    </r>
    <r>
      <rPr>
        <i/>
        <sz val="8"/>
        <rFont val="Arial CE"/>
        <family val="0"/>
      </rPr>
      <t xml:space="preserve"> nákl 5169 !!</t>
    </r>
  </si>
  <si>
    <t>nájemné celkem:</t>
  </si>
  <si>
    <t>6171 plakát, rozhlas</t>
  </si>
  <si>
    <t>12012-82012  BH 1-8/2012</t>
  </si>
  <si>
    <t>22012  BH 2/2012</t>
  </si>
  <si>
    <t>32012  BH 3/2012</t>
  </si>
  <si>
    <t>42012 BH 4/2012</t>
  </si>
  <si>
    <r>
      <t xml:space="preserve">357 21 </t>
    </r>
    <r>
      <rPr>
        <i/>
        <sz val="8"/>
        <rFont val="Arial"/>
        <family val="2"/>
      </rPr>
      <t>pozemek Pokrok</t>
    </r>
  </si>
  <si>
    <t>52012 BH 5/2012</t>
  </si>
  <si>
    <t>62012 BH 6/2012</t>
  </si>
  <si>
    <r>
      <t xml:space="preserve">72011 </t>
    </r>
    <r>
      <rPr>
        <i/>
        <sz val="7"/>
        <rFont val="Arial"/>
        <family val="0"/>
      </rPr>
      <t>BH 7/2011</t>
    </r>
  </si>
  <si>
    <t>82011 BH 8/2011</t>
  </si>
  <si>
    <t>92011 BH 9/2011</t>
  </si>
  <si>
    <t>102011 BH 10/2011</t>
  </si>
  <si>
    <t>112011 BH 11/2011</t>
  </si>
  <si>
    <r>
      <t xml:space="preserve">122011 </t>
    </r>
    <r>
      <rPr>
        <i/>
        <sz val="8"/>
        <rFont val="Arial"/>
        <family val="2"/>
      </rPr>
      <t>BH 12/2011</t>
    </r>
  </si>
  <si>
    <t>72012 BH 7/2012</t>
  </si>
  <si>
    <t>92012 BH 9/2012</t>
  </si>
  <si>
    <t>102012 BH 10/2012</t>
  </si>
  <si>
    <t>11-122012 BH 11-12/2012</t>
  </si>
  <si>
    <t>pozemek p.č. 2451/5</t>
  </si>
  <si>
    <t>nebyt celkem (rozdíl)</t>
  </si>
  <si>
    <t>pozemek p.č. 333</t>
  </si>
  <si>
    <t>nebyt s org</t>
  </si>
  <si>
    <t>pozemek p.č. 1626</t>
  </si>
  <si>
    <t>pozemek p.č. 1257/4</t>
  </si>
  <si>
    <t>pozemek p.č. 1674/2</t>
  </si>
  <si>
    <t>pozemek p.č. 1721/15  1721/17</t>
  </si>
  <si>
    <t>pozemky bez orgu</t>
  </si>
  <si>
    <t>pozemek p.č. 1721/16; 1720/1721</t>
  </si>
  <si>
    <t>264511 prodej automobilu</t>
  </si>
  <si>
    <t>43511 PS dovoz obědů</t>
  </si>
  <si>
    <t>43512 PS fyzioter</t>
  </si>
  <si>
    <t>43511 PS pronájem termonádob</t>
  </si>
  <si>
    <r>
      <t>1802</t>
    </r>
    <r>
      <rPr>
        <i/>
        <strike/>
        <sz val="8"/>
        <rFont val="Arial CE"/>
        <family val="0"/>
      </rPr>
      <t>20</t>
    </r>
    <r>
      <rPr>
        <i/>
        <sz val="8"/>
        <rFont val="Arial CE"/>
        <family val="0"/>
      </rPr>
      <t>12 ples</t>
    </r>
  </si>
  <si>
    <t>61712 park.hod. prodej</t>
  </si>
  <si>
    <r>
      <t>61715 TV Net</t>
    </r>
    <r>
      <rPr>
        <i/>
        <sz val="7"/>
        <rFont val="Arial CE"/>
        <family val="2"/>
      </rPr>
      <t xml:space="preserve"> vč.oprav tras</t>
    </r>
  </si>
  <si>
    <r>
      <t xml:space="preserve">110819 </t>
    </r>
    <r>
      <rPr>
        <i/>
        <sz val="7"/>
        <rFont val="Arial CE"/>
        <family val="2"/>
      </rPr>
      <t>parkoviště NZZ</t>
    </r>
  </si>
  <si>
    <r>
      <t>2285,2286,2344/10</t>
    </r>
    <r>
      <rPr>
        <i/>
        <sz val="7"/>
        <rFont val="Arial CE"/>
        <family val="0"/>
      </rPr>
      <t xml:space="preserve"> tísň.vol</t>
    </r>
  </si>
  <si>
    <r>
      <t>233410</t>
    </r>
    <r>
      <rPr>
        <i/>
        <sz val="6"/>
        <rFont val="Arial CE"/>
        <family val="0"/>
      </rPr>
      <t xml:space="preserve"> (10) </t>
    </r>
    <r>
      <rPr>
        <i/>
        <sz val="8"/>
        <rFont val="Arial CE"/>
        <family val="2"/>
      </rPr>
      <t>239010</t>
    </r>
    <r>
      <rPr>
        <i/>
        <sz val="6"/>
        <rFont val="Arial CE"/>
        <family val="0"/>
      </rPr>
      <t xml:space="preserve"> (30 JSDH) </t>
    </r>
    <r>
      <rPr>
        <i/>
        <sz val="7"/>
        <rFont val="Arial CE"/>
        <family val="0"/>
      </rPr>
      <t>prodej vozu</t>
    </r>
  </si>
  <si>
    <r>
      <t xml:space="preserve">528529 </t>
    </r>
    <r>
      <rPr>
        <i/>
        <sz val="7"/>
        <rFont val="Arial"/>
        <family val="2"/>
      </rPr>
      <t>pozemky směna Červených</t>
    </r>
  </si>
  <si>
    <t>15102011 Hav.posv</t>
  </si>
  <si>
    <r>
      <t>237110</t>
    </r>
    <r>
      <rPr>
        <i/>
        <sz val="7"/>
        <rFont val="Arial"/>
        <family val="2"/>
      </rPr>
      <t xml:space="preserve"> ČMC reklama</t>
    </r>
  </si>
  <si>
    <t>9102010 Hav.posv</t>
  </si>
  <si>
    <t>133504 TV Net sml 273912</t>
  </si>
  <si>
    <t>246210 oprava na 602</t>
  </si>
  <si>
    <t>170306 ZUŠ čp. 60</t>
  </si>
  <si>
    <t>15092012 Burčákobraní</t>
  </si>
  <si>
    <t>741600 volný byt čp. 74</t>
  </si>
  <si>
    <t>nebyty v náj.sml.</t>
  </si>
  <si>
    <r>
      <t>602 věcná břemena</t>
    </r>
    <r>
      <rPr>
        <i/>
        <sz val="7"/>
        <rFont val="Arial CE"/>
        <family val="0"/>
      </rPr>
      <t xml:space="preserve"> 603 náj.sml </t>
    </r>
    <r>
      <rPr>
        <i/>
        <sz val="6"/>
        <rFont val="Arial CE"/>
        <family val="0"/>
      </rPr>
      <t>361/98;494/98;841/01; 861/01;1634/06;1894/08;2273/10;2539/11;2692/12;2739/12;</t>
    </r>
    <r>
      <rPr>
        <i/>
        <sz val="7"/>
        <rFont val="Arial CE"/>
        <family val="0"/>
      </rPr>
      <t>2799/12 r</t>
    </r>
    <r>
      <rPr>
        <i/>
        <sz val="8"/>
        <rFont val="Arial CE"/>
        <family val="0"/>
      </rPr>
      <t xml:space="preserve">ekl </t>
    </r>
    <r>
      <rPr>
        <b/>
        <i/>
        <sz val="8"/>
        <rFont val="Arial CE"/>
        <family val="0"/>
      </rPr>
      <t>603</t>
    </r>
    <r>
      <rPr>
        <i/>
        <sz val="7"/>
        <rFont val="Arial CE"/>
        <family val="0"/>
      </rPr>
      <t xml:space="preserve"> Pr.tepl 2789/12 Kasten 2793/12 S&amp;S 2796/12</t>
    </r>
  </si>
  <si>
    <t>pozemky+věc.břem v náj.sml.</t>
  </si>
  <si>
    <t>DPPO za 2012:</t>
  </si>
  <si>
    <r>
      <t xml:space="preserve">Městská část </t>
    </r>
    <r>
      <rPr>
        <b/>
        <i/>
        <sz val="12"/>
        <rFont val="Arial CE"/>
        <family val="0"/>
      </rPr>
      <t xml:space="preserve">Praha </t>
    </r>
    <r>
      <rPr>
        <b/>
        <i/>
        <sz val="13"/>
        <rFont val="Arial CE"/>
        <family val="0"/>
      </rPr>
      <t>16</t>
    </r>
  </si>
  <si>
    <t>Tabulka č. 1</t>
  </si>
  <si>
    <t xml:space="preserve">         PŘEHLED FINANČNÍHO VYPOŘÁDÁNÍ            </t>
  </si>
  <si>
    <t>ZA ROK 2012</t>
  </si>
  <si>
    <t>Řádek</t>
  </si>
  <si>
    <t>Název finanční operace</t>
  </si>
  <si>
    <t>v Kč</t>
  </si>
  <si>
    <t>č.</t>
  </si>
  <si>
    <t>na 2 des.místa</t>
  </si>
  <si>
    <t>1.</t>
  </si>
  <si>
    <t>Saldo příjmů a výdajů po konsolidaci</t>
  </si>
  <si>
    <t xml:space="preserve">     - přebytek</t>
  </si>
  <si>
    <t xml:space="preserve">     - schodek</t>
  </si>
  <si>
    <t>2.</t>
  </si>
  <si>
    <t>Účetní stav účelových fondů:</t>
  </si>
  <si>
    <t>z toho:  FRR</t>
  </si>
  <si>
    <t>A: ZDROJE z finančního vypořádání</t>
  </si>
  <si>
    <t>3.</t>
  </si>
  <si>
    <t>Dorovnání dotací ze SR  c e l k e m</t>
  </si>
  <si>
    <t xml:space="preserve">z toho: </t>
  </si>
  <si>
    <r>
      <t xml:space="preserve"> - sociálně právní ochrana dětí  </t>
    </r>
    <r>
      <rPr>
        <b/>
        <sz val="9"/>
        <rFont val="Arial CE"/>
        <family val="0"/>
      </rPr>
      <t xml:space="preserve">ÚZ 98216 </t>
    </r>
    <r>
      <rPr>
        <sz val="9"/>
        <rFont val="Arial CE"/>
        <family val="0"/>
      </rPr>
      <t>(doplatek dle bodu 3a), Informace MF)</t>
    </r>
  </si>
  <si>
    <t xml:space="preserve"> - volby do Senátu PČR  ÚZ 98193</t>
  </si>
  <si>
    <t xml:space="preserve"> - volba prezidenta ČR  ÚZ 98008</t>
  </si>
  <si>
    <t>4.</t>
  </si>
  <si>
    <t>Dorovnání z rozpočtu HMP celkem</t>
  </si>
  <si>
    <t>z toho: - přeplatky místních poplatků</t>
  </si>
  <si>
    <t xml:space="preserve"> - zkoušky zvláštní odborné způsobilosti</t>
  </si>
  <si>
    <t xml:space="preserve"> - vratka nedočerp.dotace poskytnuté MČ hl.m. Praze (pol. 4129,4229)                                                                                                                                                     </t>
  </si>
  <si>
    <t>- nepřevedené výnosy z daně z nemovitostí za rok 2012</t>
  </si>
  <si>
    <t>5.</t>
  </si>
  <si>
    <t>Úhrn zdrojů fin. vypořádání   (ř.3 a ř.4)</t>
  </si>
  <si>
    <t>B: POTŘEBY finančního vypořádání</t>
  </si>
  <si>
    <t>6.</t>
  </si>
  <si>
    <t>Odvody do SR  c e l k e m</t>
  </si>
  <si>
    <t xml:space="preserve">z toho: - </t>
  </si>
  <si>
    <r>
      <t xml:space="preserve"> - sociálně-právní ochrana dětí    </t>
    </r>
    <r>
      <rPr>
        <b/>
        <sz val="9"/>
        <rFont val="Arial CE"/>
        <family val="0"/>
      </rPr>
      <t>ÚZ 98216</t>
    </r>
  </si>
  <si>
    <t xml:space="preserve"> - vratky ostat.účel.prostř. MF ČR - kap.VPS</t>
  </si>
  <si>
    <t xml:space="preserve"> - vratky účel prostř.ost.rezort.ministerstvům/st.fondům</t>
  </si>
  <si>
    <t>7.</t>
  </si>
  <si>
    <t>Odvody do rozpočtu HMP   c e l k e m</t>
  </si>
  <si>
    <t>z toho: - vratky účel.prostř. r. 2012</t>
  </si>
  <si>
    <t xml:space="preserve"> - vratky účel.prostř. r. 2011 (popř.2010) ponechaných k využití v r.2012</t>
  </si>
  <si>
    <t xml:space="preserve"> - vratky účel.prostř.r.2011, u nichž je vyúčtování stanoveno na r.2012</t>
  </si>
  <si>
    <t xml:space="preserve"> - doplatky místních poplatků</t>
  </si>
  <si>
    <t>8.</t>
  </si>
  <si>
    <t>Úhrn potřeb (ř.6 a ř.7)</t>
  </si>
  <si>
    <t>9.</t>
  </si>
  <si>
    <t>Saldo FV (ř.5 - ř.8)</t>
  </si>
  <si>
    <t>10.</t>
  </si>
  <si>
    <t xml:space="preserve">Ostatní závazky: </t>
  </si>
  <si>
    <t>a/ vůči rozpočtu HMP</t>
  </si>
  <si>
    <t xml:space="preserve">      z toho: - půjčky od HMP</t>
  </si>
  <si>
    <t xml:space="preserve">                   - ostatní</t>
  </si>
  <si>
    <t>b/ vůči jiným MČ HMP</t>
  </si>
  <si>
    <t>c/ ostatní</t>
  </si>
  <si>
    <r>
      <t xml:space="preserve">Vypracoval: </t>
    </r>
    <r>
      <rPr>
        <i/>
        <sz val="9"/>
        <rFont val="Arial CE"/>
        <family val="0"/>
      </rPr>
      <t>Marta Tišlová, OE ÚMČ P 16</t>
    </r>
    <r>
      <rPr>
        <sz val="8"/>
        <rFont val="Arial CE"/>
        <family val="0"/>
      </rPr>
      <t xml:space="preserve">   Schválil:</t>
    </r>
    <r>
      <rPr>
        <i/>
        <sz val="8"/>
        <rFont val="Arial CE"/>
        <family val="0"/>
      </rPr>
      <t xml:space="preserve"> </t>
    </r>
    <r>
      <rPr>
        <i/>
        <sz val="9"/>
        <rFont val="Arial CE"/>
        <family val="0"/>
      </rPr>
      <t>Mgr Karel Hanzlík, starosta MČ P 16</t>
    </r>
  </si>
  <si>
    <r>
      <t xml:space="preserve"> Datum: </t>
    </r>
    <r>
      <rPr>
        <i/>
        <sz val="8"/>
        <rFont val="Arial CE"/>
        <family val="0"/>
      </rPr>
      <t>1. 2. 2013</t>
    </r>
  </si>
  <si>
    <t>Městská část Praha 16</t>
  </si>
  <si>
    <t>ZÁVĚREČNÝ ÚČET ZA ROK 2012</t>
  </si>
  <si>
    <t>(v Kč)</t>
  </si>
  <si>
    <t>IČO:</t>
  </si>
  <si>
    <t>00241598</t>
  </si>
  <si>
    <t>NS:</t>
  </si>
  <si>
    <t>HČ MČ Praha 16</t>
  </si>
  <si>
    <t>Sídlo účetní jednotky</t>
  </si>
  <si>
    <t>ulice, č.p.</t>
  </si>
  <si>
    <t>Václava Balého 23/3</t>
  </si>
  <si>
    <t>obec</t>
  </si>
  <si>
    <t>Praha - Praha - Radotín</t>
  </si>
  <si>
    <t>PSČ, pošta</t>
  </si>
  <si>
    <t>15300</t>
  </si>
  <si>
    <t>Kontaktní údaje</t>
  </si>
  <si>
    <t>telefon</t>
  </si>
  <si>
    <t>234 128 111</t>
  </si>
  <si>
    <t>fax</t>
  </si>
  <si>
    <t>234 128 105</t>
  </si>
  <si>
    <t>e-mail</t>
  </si>
  <si>
    <t>elpodatelna@p16.mepnet.cz</t>
  </si>
  <si>
    <t>Obsah závěrečného účtu</t>
  </si>
  <si>
    <t>I. Plnění rozpočtu příjmů</t>
  </si>
  <si>
    <t>II. Plnění rozpočtu výdajů</t>
  </si>
  <si>
    <t>III. Financování (zapojení vlastních úspor a cizích zdrojů)</t>
  </si>
  <si>
    <t>IV. Stavy a obraty na bankovních účtech</t>
  </si>
  <si>
    <t>V. Peněžní fondy - informativně</t>
  </si>
  <si>
    <t>VI. Majetek</t>
  </si>
  <si>
    <t>VII. Vyúčtování finančních vztahů k rozpočtům krajů, obcí, DSO a vnitřní převody</t>
  </si>
  <si>
    <t>VIII. Vyúčtování finančních vztahů ke státnímu rozpočtu, státním fondům a Národnímu fondu</t>
  </si>
  <si>
    <t>IX. Zpráva o výsledku přezkoumání hospodaření</t>
  </si>
  <si>
    <t>X. Finanční hospodaření zřízených právnických osob a hospodaření s jejich majetkem</t>
  </si>
  <si>
    <t>XI. Ostatní doplňující údaje</t>
  </si>
  <si>
    <t>I. PLNĚNÍ ROZPOČTU PŘÍJMŮ</t>
  </si>
  <si>
    <t>Text</t>
  </si>
  <si>
    <t>Schválený rozpočet</t>
  </si>
  <si>
    <t>Rozpočet po změnách</t>
  </si>
  <si>
    <t>Skutečnost</t>
  </si>
  <si>
    <t>Daňové příjmy</t>
  </si>
  <si>
    <t>13 900 000,00</t>
  </si>
  <si>
    <t>12 252 000,00</t>
  </si>
  <si>
    <t>12 011 629,53</t>
  </si>
  <si>
    <t>Nedaňové příjmy</t>
  </si>
  <si>
    <t>13 505 000,00</t>
  </si>
  <si>
    <t>4 292 500,00</t>
  </si>
  <si>
    <t>4 437 611,49</t>
  </si>
  <si>
    <t>Kapitálové příjmy</t>
  </si>
  <si>
    <t>Přijaté transfery</t>
  </si>
  <si>
    <t>173 990 000,00</t>
  </si>
  <si>
    <t>200 999 800,00</t>
  </si>
  <si>
    <t>179 785 066,71</t>
  </si>
  <si>
    <t>PŘÍJMY CELKEM</t>
  </si>
  <si>
    <t>201 395 000,00</t>
  </si>
  <si>
    <t>217 544 300,00</t>
  </si>
  <si>
    <t>196 234 307,73</t>
  </si>
  <si>
    <t>Konsolidace příjmů</t>
  </si>
  <si>
    <t>110 050 000,00</t>
  </si>
  <si>
    <t>88 835 427,73</t>
  </si>
  <si>
    <t>PŘÍJMY CELKEM PO KONSOLIDACI</t>
  </si>
  <si>
    <t>91 345 000,00</t>
  </si>
  <si>
    <t>107 494 300,00</t>
  </si>
  <si>
    <t>107 398 880,00</t>
  </si>
  <si>
    <t>Detailní výpis položek dle druhového třídění rozpočtové skladby</t>
  </si>
  <si>
    <t>1341</t>
  </si>
  <si>
    <t>Poplatek ze psů</t>
  </si>
  <si>
    <t>250 000,00</t>
  </si>
  <si>
    <t>255 827,00</t>
  </si>
  <si>
    <t>1342</t>
  </si>
  <si>
    <t>Poplatek za lázeňský nebo rekreační pobyt</t>
  </si>
  <si>
    <t>35 000,00</t>
  </si>
  <si>
    <t>10 275,00</t>
  </si>
  <si>
    <t>1343</t>
  </si>
  <si>
    <t>Poplatek za užívání veřejného prostranství</t>
  </si>
  <si>
    <t>552 000,00</t>
  </si>
  <si>
    <t>577 000,00</t>
  </si>
  <si>
    <t>610 892,00</t>
  </si>
  <si>
    <t>1344</t>
  </si>
  <si>
    <t>Poplatek ze vstupného</t>
  </si>
  <si>
    <t>13 000,00</t>
  </si>
  <si>
    <t>7 560,00</t>
  </si>
  <si>
    <t>1345</t>
  </si>
  <si>
    <t>Poplatek z ubytovací kapacity</t>
  </si>
  <si>
    <t>285 000,00</t>
  </si>
  <si>
    <t>285 464,00</t>
  </si>
  <si>
    <t>1347</t>
  </si>
  <si>
    <t>Poplatek za provozovaný výherní hrací přístroj</t>
  </si>
  <si>
    <t>700 000,00</t>
  </si>
  <si>
    <t>134</t>
  </si>
  <si>
    <t>MÍSTNÍ POPLATKY Z VYBRANÝCH ČINNOSTÍ A SLUŽEB</t>
  </si>
  <si>
    <t>1 800 000,00</t>
  </si>
  <si>
    <t>1 160 000,00</t>
  </si>
  <si>
    <t>1 170 018,00</t>
  </si>
  <si>
    <t>1351</t>
  </si>
  <si>
    <t>Odvod z loterií a podob.her kromě výher.hrac.př</t>
  </si>
  <si>
    <t>600 000,00</t>
  </si>
  <si>
    <t>450 000,00</t>
  </si>
  <si>
    <t>156 442,00</t>
  </si>
  <si>
    <t>135</t>
  </si>
  <si>
    <t>Ostatní odvody z vybraných činností a služeb</t>
  </si>
  <si>
    <t>1361</t>
  </si>
  <si>
    <t>Správní poplatky</t>
  </si>
  <si>
    <t>2 800 000,00</t>
  </si>
  <si>
    <t>1 942 000,00</t>
  </si>
  <si>
    <t>1 942 418,00</t>
  </si>
  <si>
    <t>136</t>
  </si>
  <si>
    <t>SPRÁVNÍ POPLATKY</t>
  </si>
  <si>
    <t>13</t>
  </si>
  <si>
    <t>DANĚ A POPLATKY Z VYBRANÝCH ČINNOSTÍ A SLUŽEB</t>
  </si>
  <si>
    <t>5 200 000,00</t>
  </si>
  <si>
    <t>3 552 000,00</t>
  </si>
  <si>
    <t>3 268 878,00</t>
  </si>
  <si>
    <t>1511</t>
  </si>
  <si>
    <t>Daň z nemovitostí</t>
  </si>
  <si>
    <t>8 700 000,00</t>
  </si>
  <si>
    <t>8 742 751,53</t>
  </si>
  <si>
    <t>151</t>
  </si>
  <si>
    <t>DANĚ Z MAJETKU</t>
  </si>
  <si>
    <t>15</t>
  </si>
  <si>
    <t>MAJETKOVÉ DANĚ</t>
  </si>
  <si>
    <t>1</t>
  </si>
  <si>
    <t>D A Ň O V É   PŘÍJMY  (součet za třídu 1)</t>
  </si>
  <si>
    <t>2111</t>
  </si>
  <si>
    <t>Příjmy z poskytování služeb a výrobků</t>
  </si>
  <si>
    <t>12 705 000,00</t>
  </si>
  <si>
    <t>755 000,00</t>
  </si>
  <si>
    <t>694 786,00</t>
  </si>
  <si>
    <t>211</t>
  </si>
  <si>
    <t>PŘÍJMY Z VLASTNÍ ČINNOSTI</t>
  </si>
  <si>
    <t>2141</t>
  </si>
  <si>
    <t>Příjmy z úroků (část)</t>
  </si>
  <si>
    <t>100 000,00</t>
  </si>
  <si>
    <t>68 576,53</t>
  </si>
  <si>
    <t>214</t>
  </si>
  <si>
    <t>VÝNOSY Z FINANČNÍHO MAJETKU</t>
  </si>
  <si>
    <t>21</t>
  </si>
  <si>
    <t>PŘÍJMY Z VL.ČINN.A ODVODY PŘEB.ORG.S PŘÍM.VZT.</t>
  </si>
  <si>
    <t>12 805 000,00</t>
  </si>
  <si>
    <t>855 000,00</t>
  </si>
  <si>
    <t>763 362,53</t>
  </si>
  <si>
    <t>2212</t>
  </si>
  <si>
    <t>Sankční platby přijaté od jiných subjektů</t>
  </si>
  <si>
    <t>500 000,00</t>
  </si>
  <si>
    <t>612 500,00</t>
  </si>
  <si>
    <t>612 200,00</t>
  </si>
  <si>
    <t>221</t>
  </si>
  <si>
    <t>PŘIJATÉ SANKČNÍ PLATBY</t>
  </si>
  <si>
    <t>2221</t>
  </si>
  <si>
    <t>Přijaté vratky transf.od jiných věř.rozpočtů</t>
  </si>
  <si>
    <t>652 000,00-</t>
  </si>
  <si>
    <t>652 113,39-</t>
  </si>
  <si>
    <t>222</t>
  </si>
  <si>
    <t>PŘIJ.VRATKY TRANSF.A OST.PŘ.Z FIN.VYP.PŘEDCH.L.</t>
  </si>
  <si>
    <t>22</t>
  </si>
  <si>
    <t>PŘIJATÉ SANKČNÍ PLATBY A VRATKY TRANSFERŮ</t>
  </si>
  <si>
    <t>39 500,00-</t>
  </si>
  <si>
    <t>39 913,39-</t>
  </si>
  <si>
    <t>2321</t>
  </si>
  <si>
    <t>Přijaté neinvestiční dary</t>
  </si>
  <si>
    <t>2 675 000,00</t>
  </si>
  <si>
    <t>2322</t>
  </si>
  <si>
    <t>Přijaté pojistné náhrady</t>
  </si>
  <si>
    <t>215 000,00</t>
  </si>
  <si>
    <t>206 018,00</t>
  </si>
  <si>
    <t>2329</t>
  </si>
  <si>
    <t>Ostatní nedaňové příjmy jinde nezařazené</t>
  </si>
  <si>
    <t>182 000,00</t>
  </si>
  <si>
    <t>184 610,85</t>
  </si>
  <si>
    <t>232</t>
  </si>
  <si>
    <t>OSTATNÍ NEDAŇOVÉ PŘÍJMY</t>
  </si>
  <si>
    <t>3 072 000,00</t>
  </si>
  <si>
    <t>3 065 628,85</t>
  </si>
  <si>
    <t>2343</t>
  </si>
  <si>
    <t>Př.z úhrad dobýv.prostoru a z vydobytých neros.</t>
  </si>
  <si>
    <t>200 000,00</t>
  </si>
  <si>
    <t>405 000,00</t>
  </si>
  <si>
    <t>370 033,50</t>
  </si>
  <si>
    <t>234</t>
  </si>
  <si>
    <t>PŘÍJMY Z VYUŽ.VÝHRAD.PRÁV K PŘÍRODNÍM ZDROJŮM</t>
  </si>
  <si>
    <t>23</t>
  </si>
  <si>
    <t>PŘÍJMY Z PROD.NEKAP.MAJ.A OST.NEDAŇOVÉ PŘÍJMY</t>
  </si>
  <si>
    <t>3 477 000,00</t>
  </si>
  <si>
    <t>3 435 662,35</t>
  </si>
  <si>
    <t>2460</t>
  </si>
  <si>
    <t>Spl.půjč.prostř.od obyvatelstva</t>
  </si>
  <si>
    <t>278 500,00</t>
  </si>
  <si>
    <t>246</t>
  </si>
  <si>
    <t>SPL.PŮJČ.PROSTŘ.OD OBYVATELSTVA</t>
  </si>
  <si>
    <t>24</t>
  </si>
  <si>
    <t>PŘIJATÉ SPLÁTKY PŮJČENÝCH PROSTŘEDKŮ</t>
  </si>
  <si>
    <t>2</t>
  </si>
  <si>
    <t>N E D A Ň O V É   PŘÍJMY (součet za třídu 2)</t>
  </si>
  <si>
    <t>V L A S T N Í   P Ř Í J M Y (třída 1 + 2 + 3)</t>
  </si>
  <si>
    <t>27 405 000,00</t>
  </si>
  <si>
    <t>16 544 500,00</t>
  </si>
  <si>
    <t>16 449 241,02</t>
  </si>
  <si>
    <t>4111</t>
  </si>
  <si>
    <t>Neinv.přij.transf.z všeob.pokl.správy st.rozp.</t>
  </si>
  <si>
    <t>1 898 200,00</t>
  </si>
  <si>
    <t>1 898 191,00</t>
  </si>
  <si>
    <t>4112</t>
  </si>
  <si>
    <t>Neinv.přij.tra.ze SR v rámci souhrn.dot.vztahu</t>
  </si>
  <si>
    <t>17 008 000,00</t>
  </si>
  <si>
    <t>4116</t>
  </si>
  <si>
    <t>Ost.neinv.přij.tra.ze státního rozpočtu</t>
  </si>
  <si>
    <t>1 014 100,00</t>
  </si>
  <si>
    <t>1 014 050,00</t>
  </si>
  <si>
    <t>411</t>
  </si>
  <si>
    <t>NEINV.PŘIJ.TRANSF.OD VEŘ.ROZP.ÚSTŘEDNÍ ÚROVNĚ</t>
  </si>
  <si>
    <t>19 920 300,00</t>
  </si>
  <si>
    <t>19 920 241,00</t>
  </si>
  <si>
    <t>4121</t>
  </si>
  <si>
    <t>Neinvestiční přijaté transfery od obcí</t>
  </si>
  <si>
    <t>38 244 000,00</t>
  </si>
  <si>
    <t>48 559 500,00</t>
  </si>
  <si>
    <t>48 559 605,55</t>
  </si>
  <si>
    <t>412</t>
  </si>
  <si>
    <t>NEINVESTIČNÍ PŘIJATÉ TRANSF.OD ROZP.ÚZ.ÚROVNĚ</t>
  </si>
  <si>
    <t>4131</t>
  </si>
  <si>
    <t>Převody z vl.fondů hosp.(podnik.)činnosti</t>
  </si>
  <si>
    <t>8 688 000,00</t>
  </si>
  <si>
    <t>18 400 000,00</t>
  </si>
  <si>
    <t>4134</t>
  </si>
  <si>
    <t>Převody z rozpočtových účtů</t>
  </si>
  <si>
    <t>413</t>
  </si>
  <si>
    <t>PŘEVODY Z VLASTNÍCH FONDŮ</t>
  </si>
  <si>
    <t>118 738 000,00</t>
  </si>
  <si>
    <t>128 450 000,00</t>
  </si>
  <si>
    <t>107 235 427,73</t>
  </si>
  <si>
    <t>4153</t>
  </si>
  <si>
    <t>Neinvestiční transf.opřijaté do Evropské unie</t>
  </si>
  <si>
    <t>70 000,00</t>
  </si>
  <si>
    <t>69 792,43</t>
  </si>
  <si>
    <t>415</t>
  </si>
  <si>
    <t>NEINVESTIČNÍ PŘIJATÉ TRANSFERY ZE ZAHRANIČÍ</t>
  </si>
  <si>
    <t>41</t>
  </si>
  <si>
    <t>NEINVESTIČNÍ PŘIJATÉ TRANSFERY</t>
  </si>
  <si>
    <t>196 999 800,00</t>
  </si>
  <si>
    <t>175 785 066,71</t>
  </si>
  <si>
    <t>4221</t>
  </si>
  <si>
    <t>Investiční přijaté transfery od obcí</t>
  </si>
  <si>
    <t>4 000 000,00</t>
  </si>
  <si>
    <t>422</t>
  </si>
  <si>
    <t>INVEST.PŘIJ.TRANSF.OD VEŘ.ROZP.ÚZEMNÍ ÚROVNĚ</t>
  </si>
  <si>
    <t>42</t>
  </si>
  <si>
    <t>INVESTIČNÍ PŘIJATÉ DOTACE</t>
  </si>
  <si>
    <t>4</t>
  </si>
  <si>
    <t>P Ř I J A T É   D O T A C E (součet za třídu 4)</t>
  </si>
  <si>
    <t>P Ř Í J M Y   C E L K E M   (třídy 1+2+3+4)</t>
  </si>
  <si>
    <t>II. PLNĚNÍ ROZPOČTU VÝDAJŮ</t>
  </si>
  <si>
    <t>Běžné výdaje</t>
  </si>
  <si>
    <t>187 167 000,00</t>
  </si>
  <si>
    <t>192 555 700,00</t>
  </si>
  <si>
    <t>162 152 488,88</t>
  </si>
  <si>
    <t>Kapitálové výdaje</t>
  </si>
  <si>
    <t>14 228 000,00</t>
  </si>
  <si>
    <t>28 348 200,00</t>
  </si>
  <si>
    <t>28 588 240,12</t>
  </si>
  <si>
    <t>VÝDAJE CELKEM</t>
  </si>
  <si>
    <t>220 903 900,00</t>
  </si>
  <si>
    <t>190 740 729,00</t>
  </si>
  <si>
    <t>Konsolidace výdajů</t>
  </si>
  <si>
    <t>VÝDAJE CELKEM PO KONSOLIDACI</t>
  </si>
  <si>
    <t>110 853 900,00</t>
  </si>
  <si>
    <t>101 905 301,27</t>
  </si>
  <si>
    <t>5011</t>
  </si>
  <si>
    <t>Platy zaměstnanců v pracovním poměru</t>
  </si>
  <si>
    <t>26 528 000,00</t>
  </si>
  <si>
    <t>27 865 000,00</t>
  </si>
  <si>
    <t>23 442 129,00</t>
  </si>
  <si>
    <t>501</t>
  </si>
  <si>
    <t>PLATY</t>
  </si>
  <si>
    <t>5021</t>
  </si>
  <si>
    <t>Ostatní osobní výdaje</t>
  </si>
  <si>
    <t>291 000,00</t>
  </si>
  <si>
    <t>476 800,00</t>
  </si>
  <si>
    <t>514 599,00</t>
  </si>
  <si>
    <t>5023</t>
  </si>
  <si>
    <t>Odměny členů zastupitelstev obcí a krajů</t>
  </si>
  <si>
    <t>2 130 000,00</t>
  </si>
  <si>
    <t>1 986 205,00</t>
  </si>
  <si>
    <t>502</t>
  </si>
  <si>
    <t>OSTATNÍ PLATBY ZA PROVEDENOU PRÁCI</t>
  </si>
  <si>
    <t>2 421 000,00</t>
  </si>
  <si>
    <t>2 606 800,00</t>
  </si>
  <si>
    <t>2 500 804,00</t>
  </si>
  <si>
    <t>5031</t>
  </si>
  <si>
    <t>Pov.poj.na soc.zab.a přísp.na st.pol.zaměstnan.</t>
  </si>
  <si>
    <t>7 160 000,00</t>
  </si>
  <si>
    <t>7 498 000,00</t>
  </si>
  <si>
    <t>6 354 153,00</t>
  </si>
  <si>
    <t>5032</t>
  </si>
  <si>
    <t>Povinné pojistné na veřejné zdravotní pojištění</t>
  </si>
  <si>
    <t>2 620 000,00</t>
  </si>
  <si>
    <t>2 739 700,00</t>
  </si>
  <si>
    <t>2 336 534,00</t>
  </si>
  <si>
    <t>5038</t>
  </si>
  <si>
    <t>Povinné pojistné na úrazové pojištění</t>
  </si>
  <si>
    <t>115 500,00</t>
  </si>
  <si>
    <t>119 500,00</t>
  </si>
  <si>
    <t>118 580,00</t>
  </si>
  <si>
    <t>503</t>
  </si>
  <si>
    <t>POVINNÉ POJISTNÉ PLACENÉ ZAMĚSTNAVATELEM</t>
  </si>
  <si>
    <t>9 895 500,00</t>
  </si>
  <si>
    <t>10 357 200,00</t>
  </si>
  <si>
    <t>8 809 267,00</t>
  </si>
  <si>
    <t>50</t>
  </si>
  <si>
    <t>VÝDAJE NA PLATY,OST.PLATBY ZA PROV.PR.A POJIST.</t>
  </si>
  <si>
    <t>38 844 500,00</t>
  </si>
  <si>
    <t>40 829 000,00</t>
  </si>
  <si>
    <t>34 752 200,00</t>
  </si>
  <si>
    <t>5134</t>
  </si>
  <si>
    <t>Prádlo, oděv a obuv</t>
  </si>
  <si>
    <t>16 000,00</t>
  </si>
  <si>
    <t>6 000,00</t>
  </si>
  <si>
    <t>5 946,00</t>
  </si>
  <si>
    <t>5136</t>
  </si>
  <si>
    <t>Knihy, učební pomůcky a tisk</t>
  </si>
  <si>
    <t>338 000,00</t>
  </si>
  <si>
    <t>393 800,00</t>
  </si>
  <si>
    <t>322 036,00</t>
  </si>
  <si>
    <t>5137</t>
  </si>
  <si>
    <t>Drobný hmotný dlouhodobý majetek</t>
  </si>
  <si>
    <t>941 000,00</t>
  </si>
  <si>
    <t>811 000,00</t>
  </si>
  <si>
    <t>739 354,46</t>
  </si>
  <si>
    <t>5139</t>
  </si>
  <si>
    <t>Nákup materiálu jinde nezařazený</t>
  </si>
  <si>
    <t>901 000,00</t>
  </si>
  <si>
    <t>1 025 600,00</t>
  </si>
  <si>
    <t>996 268,41</t>
  </si>
  <si>
    <t>513</t>
  </si>
  <si>
    <t>NÁKUP MATERIÁLU</t>
  </si>
  <si>
    <t>2 196 000,00</t>
  </si>
  <si>
    <t>2 236 400,00</t>
  </si>
  <si>
    <t>2 063 604,87</t>
  </si>
  <si>
    <t>5151</t>
  </si>
  <si>
    <t>Studená voda</t>
  </si>
  <si>
    <t>126 000,00</t>
  </si>
  <si>
    <t>85 000,00</t>
  </si>
  <si>
    <t>80 355,38</t>
  </si>
  <si>
    <t>5152</t>
  </si>
  <si>
    <t>Teplo</t>
  </si>
  <si>
    <t>846 000,00</t>
  </si>
  <si>
    <t>1 280 000,00</t>
  </si>
  <si>
    <t>1 416 424,20</t>
  </si>
  <si>
    <t>5154</t>
  </si>
  <si>
    <t>Elektrická energie</t>
  </si>
  <si>
    <t>904 000,00</t>
  </si>
  <si>
    <t>576 000,00</t>
  </si>
  <si>
    <t>447 800,00</t>
  </si>
  <si>
    <t>5156</t>
  </si>
  <si>
    <t>Pohonné hmoty a maziva</t>
  </si>
  <si>
    <t>192 500,00</t>
  </si>
  <si>
    <t>234 500,00</t>
  </si>
  <si>
    <t>190 994,76</t>
  </si>
  <si>
    <t>515</t>
  </si>
  <si>
    <t>NÁKUP VODY, PALIV A ENERGIE</t>
  </si>
  <si>
    <t>2 068 500,00</t>
  </si>
  <si>
    <t>2 175 500,00</t>
  </si>
  <si>
    <t>2 135 574,34</t>
  </si>
  <si>
    <t>5161</t>
  </si>
  <si>
    <t>Služby pošt</t>
  </si>
  <si>
    <t>494 000,00</t>
  </si>
  <si>
    <t>301 000,00</t>
  </si>
  <si>
    <t>302 697,00</t>
  </si>
  <si>
    <t>5162</t>
  </si>
  <si>
    <t>Služby telekomunikací a radiokomunikací</t>
  </si>
  <si>
    <t>702 000,00</t>
  </si>
  <si>
    <t>618 700,00</t>
  </si>
  <si>
    <t>620 078,49</t>
  </si>
  <si>
    <t>5163</t>
  </si>
  <si>
    <t>Služby peněžních ústavů</t>
  </si>
  <si>
    <t>582 000,00</t>
  </si>
  <si>
    <t>521 000,00</t>
  </si>
  <si>
    <t>511 821,50</t>
  </si>
  <si>
    <t>5164</t>
  </si>
  <si>
    <t>Nájemné</t>
  </si>
  <si>
    <t>36 000,00</t>
  </si>
  <si>
    <t>136 100,00</t>
  </si>
  <si>
    <t>133 343,60</t>
  </si>
  <si>
    <t>5166</t>
  </si>
  <si>
    <t>Konzultační, poradenské a právní služby</t>
  </si>
  <si>
    <t>573 000,00</t>
  </si>
  <si>
    <t>554 000,00</t>
  </si>
  <si>
    <t>554 400,00</t>
  </si>
  <si>
    <t>5167</t>
  </si>
  <si>
    <t>Služby školení a vzdělávání</t>
  </si>
  <si>
    <t>349 500,00</t>
  </si>
  <si>
    <t>512 300,00</t>
  </si>
  <si>
    <t>365 974,00</t>
  </si>
  <si>
    <t>5169</t>
  </si>
  <si>
    <t>Nákup ostatních služeb</t>
  </si>
  <si>
    <t>12 446 000,00</t>
  </si>
  <si>
    <t>7 269 800,00</t>
  </si>
  <si>
    <t>6 764 233,29</t>
  </si>
  <si>
    <t>516</t>
  </si>
  <si>
    <t>NÁKUP SLUŽEB</t>
  </si>
  <si>
    <t>15 182 500,00</t>
  </si>
  <si>
    <t>9 912 900,00</t>
  </si>
  <si>
    <t>9 252 547,88</t>
  </si>
  <si>
    <t>5171</t>
  </si>
  <si>
    <t>Opravy a udržování</t>
  </si>
  <si>
    <t>1 108 500,00</t>
  </si>
  <si>
    <t>2 482 500,00</t>
  </si>
  <si>
    <t>2 200 391,66</t>
  </si>
  <si>
    <t>5172</t>
  </si>
  <si>
    <t>Programové vybavení</t>
  </si>
  <si>
    <t>400 000,00</t>
  </si>
  <si>
    <t>115 000,00</t>
  </si>
  <si>
    <t>114 790,00</t>
  </si>
  <si>
    <t>5173</t>
  </si>
  <si>
    <t>Cestovné (tuzemské i zahraniční, 9)</t>
  </si>
  <si>
    <t>65 000,00</t>
  </si>
  <si>
    <t>67 000,00</t>
  </si>
  <si>
    <t>55 915,00</t>
  </si>
  <si>
    <t>5175</t>
  </si>
  <si>
    <t>Pohoštění</t>
  </si>
  <si>
    <t>97 000,00</t>
  </si>
  <si>
    <t>137 000,00</t>
  </si>
  <si>
    <t>140 679,60</t>
  </si>
  <si>
    <t>517</t>
  </si>
  <si>
    <t>OSTATNÍ NÁKUPY</t>
  </si>
  <si>
    <t>1 670 500,00</t>
  </si>
  <si>
    <t>2 801 500,00</t>
  </si>
  <si>
    <t>2 511 776,26</t>
  </si>
  <si>
    <t>5192</t>
  </si>
  <si>
    <t>Poskyt.neinvestiční přísp.a náhrady (část, 9)</t>
  </si>
  <si>
    <t>650 000,00</t>
  </si>
  <si>
    <t>711 500,00</t>
  </si>
  <si>
    <t>61 300,00</t>
  </si>
  <si>
    <t>5194</t>
  </si>
  <si>
    <t>Věcné dary</t>
  </si>
  <si>
    <t>108 884,80</t>
  </si>
  <si>
    <t>5195</t>
  </si>
  <si>
    <t>Odvody za neplnění pov.zaměstnávat zdr.postiž.</t>
  </si>
  <si>
    <t>110 000,00</t>
  </si>
  <si>
    <t>123 000,00</t>
  </si>
  <si>
    <t>122 783,00</t>
  </si>
  <si>
    <t>519</t>
  </si>
  <si>
    <t>VÝDAJE SOUV.S NEINV.NÁK.,PŘÍSP.,NÁHR.A VĚC.DARY</t>
  </si>
  <si>
    <t>860 000,00</t>
  </si>
  <si>
    <t>971 500,00</t>
  </si>
  <si>
    <t>292 967,80</t>
  </si>
  <si>
    <t>51</t>
  </si>
  <si>
    <t>NEINVESTIČNÍ NÁKUPY A SOUVISEJÍCÍ VÝDAJE</t>
  </si>
  <si>
    <t>21 977 500,00</t>
  </si>
  <si>
    <t>18 097 800,00</t>
  </si>
  <si>
    <t>16 256 471,15</t>
  </si>
  <si>
    <t>5222</t>
  </si>
  <si>
    <t>Neinv.transf.občanským sdružením</t>
  </si>
  <si>
    <t>320 000,00</t>
  </si>
  <si>
    <t>5229</t>
  </si>
  <si>
    <t>Ost.neinv.transf.nezisk. a podob.organizacím</t>
  </si>
  <si>
    <t>357 800,00</t>
  </si>
  <si>
    <t>522</t>
  </si>
  <si>
    <t>NEINV.TRANSF.NEZISKOVÝM A PODOBNÝM ORGANIZACÍM</t>
  </si>
  <si>
    <t>677 800,00</t>
  </si>
  <si>
    <t>52</t>
  </si>
  <si>
    <t>NEINV.TRANSFERY PODN.SUBJ.A NEZISK.ORGANIZACÍM</t>
  </si>
  <si>
    <t>5331</t>
  </si>
  <si>
    <t>Neinvestiční příspěvky zřízeným PO</t>
  </si>
  <si>
    <t>15 020 000,00</t>
  </si>
  <si>
    <t>20 352 300,00</t>
  </si>
  <si>
    <t>533</t>
  </si>
  <si>
    <t>NEINV.TRANSFERY PŘÍSP.A PODOBNÝM ORGANIZACÍM</t>
  </si>
  <si>
    <t>5342</t>
  </si>
  <si>
    <t>Převody FKSP a soc.fondu obcí a krajů</t>
  </si>
  <si>
    <t>851 641,00</t>
  </si>
  <si>
    <t>5345</t>
  </si>
  <si>
    <t>Převody vlastním rozpočtovým účtům</t>
  </si>
  <si>
    <t>87 983 786,73</t>
  </si>
  <si>
    <t>534</t>
  </si>
  <si>
    <t>PŘEVODY VLASTNÍM FONDŮM</t>
  </si>
  <si>
    <t>5361</t>
  </si>
  <si>
    <t>Nákup kolků</t>
  </si>
  <si>
    <t>15 000,00</t>
  </si>
  <si>
    <t>9 480,00</t>
  </si>
  <si>
    <t>5362</t>
  </si>
  <si>
    <t>Platby daní a poplatků státnímu rozpočtu</t>
  </si>
  <si>
    <t>11 000,00</t>
  </si>
  <si>
    <t>16 690,00</t>
  </si>
  <si>
    <t>5363</t>
  </si>
  <si>
    <t>Úhrady sankcí jiným rozpočtům</t>
  </si>
  <si>
    <t>50,00</t>
  </si>
  <si>
    <t>536</t>
  </si>
  <si>
    <t>OST.NEINV.TRANSFERY JINÝM VEŘEJNÝM ROZPOČTŮM</t>
  </si>
  <si>
    <t>26 000,00</t>
  </si>
  <si>
    <t>26 220,00</t>
  </si>
  <si>
    <t>53</t>
  </si>
  <si>
    <t>NEINV.TRANSFERY A NĚKTERÉ DALŠÍ PLATBY ROZP.</t>
  </si>
  <si>
    <t>125 085 000,00</t>
  </si>
  <si>
    <t>130 428 300,00</t>
  </si>
  <si>
    <t>109 213 947,73</t>
  </si>
  <si>
    <t>5410</t>
  </si>
  <si>
    <t>Sociální dávky</t>
  </si>
  <si>
    <t>44 100,00</t>
  </si>
  <si>
    <t>44 050,00</t>
  </si>
  <si>
    <t>541</t>
  </si>
  <si>
    <t>SOCIÁLNÍ DÁVKY</t>
  </si>
  <si>
    <t>5424</t>
  </si>
  <si>
    <t>Náhrady mezd v době nemoci</t>
  </si>
  <si>
    <t>141 000,00</t>
  </si>
  <si>
    <t>159 596,00</t>
  </si>
  <si>
    <t>542</t>
  </si>
  <si>
    <t>NÁHRADY PLACENÉ OBYVATELSTVU</t>
  </si>
  <si>
    <t>54</t>
  </si>
  <si>
    <t>NEINVESTIČNÍ TRANSFERY OBYVATELSTVU</t>
  </si>
  <si>
    <t>185 100,00</t>
  </si>
  <si>
    <t>203 646,00</t>
  </si>
  <si>
    <t>5660</t>
  </si>
  <si>
    <t>Neinvestiční půjčené prostředky obyvatelstvu</t>
  </si>
  <si>
    <t>350 000,00</t>
  </si>
  <si>
    <t>150 000,00</t>
  </si>
  <si>
    <t>566</t>
  </si>
  <si>
    <t>NEINVESTIČNÍ PŮJČENÉ PROSTŘEDKY OBYVATELSTVU</t>
  </si>
  <si>
    <t>56</t>
  </si>
  <si>
    <t>NEINVESTIČNÍ PŮJČENÉ PROSTŘEDKY</t>
  </si>
  <si>
    <t>5901</t>
  </si>
  <si>
    <t>Nespecifikované rezervy</t>
  </si>
  <si>
    <t>1 825 500,00</t>
  </si>
  <si>
    <t>5909</t>
  </si>
  <si>
    <t>Ostatní neinvestiční výdaje jinde nezařazené</t>
  </si>
  <si>
    <t>840 000,00</t>
  </si>
  <si>
    <t>898 424,00</t>
  </si>
  <si>
    <t>590</t>
  </si>
  <si>
    <t>OSTATNÍ NEINVESTIČNÍ VÝDAJE</t>
  </si>
  <si>
    <t>2 665 500,00</t>
  </si>
  <si>
    <t>59</t>
  </si>
  <si>
    <t>5</t>
  </si>
  <si>
    <t>B Ě Ž N É   V Ý D A J E  (třída 5)</t>
  </si>
  <si>
    <t>6111</t>
  </si>
  <si>
    <t>179 000,00</t>
  </si>
  <si>
    <t>279 467,00</t>
  </si>
  <si>
    <t>611</t>
  </si>
  <si>
    <t>POŘÍZENÍ DLOUHODOBÉHO NEHMOTNÉHO MAJETKU</t>
  </si>
  <si>
    <t>6121</t>
  </si>
  <si>
    <t>Budovy, haly a stavby</t>
  </si>
  <si>
    <t>11 984 000,00</t>
  </si>
  <si>
    <t>25 828 200,00</t>
  </si>
  <si>
    <t>25 965 608,52</t>
  </si>
  <si>
    <t>6122</t>
  </si>
  <si>
    <t>Stroje, přístroje a zařízení</t>
  </si>
  <si>
    <t>470 000,00</t>
  </si>
  <si>
    <t>471 601,60</t>
  </si>
  <si>
    <t>6123</t>
  </si>
  <si>
    <t>Dopravní prostředky</t>
  </si>
  <si>
    <t>124 000,00</t>
  </si>
  <si>
    <t>124 318,00</t>
  </si>
  <si>
    <t>6125</t>
  </si>
  <si>
    <t>Výpočetní technika</t>
  </si>
  <si>
    <t>2 094 000,00</t>
  </si>
  <si>
    <t>47 000,00</t>
  </si>
  <si>
    <t>47 245,00</t>
  </si>
  <si>
    <t>612</t>
  </si>
  <si>
    <t>POŘÍZENÍ DLOUHODOBÉHO HMOTNÉHO MAJETKU</t>
  </si>
  <si>
    <t>14 078 000,00</t>
  </si>
  <si>
    <t>26 469 200,00</t>
  </si>
  <si>
    <t>26 608 773,12</t>
  </si>
  <si>
    <t>61</t>
  </si>
  <si>
    <t>INVESTIČNÍ NÁKUPY A SOUVISEJÍCÍ VÝDAJE</t>
  </si>
  <si>
    <t>26 648 200,00</t>
  </si>
  <si>
    <t>26 888 240,12</t>
  </si>
  <si>
    <t>6322</t>
  </si>
  <si>
    <t>Inv. transfery občanským sdružením</t>
  </si>
  <si>
    <t>1 000 000,00</t>
  </si>
  <si>
    <t>1 100 000,00</t>
  </si>
  <si>
    <t>6329</t>
  </si>
  <si>
    <t>Ost.inv. transf.nezisk. a podobným organizacím</t>
  </si>
  <si>
    <t>632</t>
  </si>
  <si>
    <t>INV. TRANSF.NEZISKOVÝM A PODOBNÝM ORGANIZACÍM</t>
  </si>
  <si>
    <t>6351</t>
  </si>
  <si>
    <t>Inv. transf.zřízeným příspěvkovým organizacím</t>
  </si>
  <si>
    <t>635</t>
  </si>
  <si>
    <t>INVESTIČNÍ TRANSF.PŘÍSPĚVKOVÝM A PODOB.ORGANIZ.</t>
  </si>
  <si>
    <t>63</t>
  </si>
  <si>
    <t>INVESTIČNÍ TRANSFERY</t>
  </si>
  <si>
    <t>1 700 000,00</t>
  </si>
  <si>
    <t>6</t>
  </si>
  <si>
    <t>K A P I T Á L O V É   VÝDAJE  (třída 6)</t>
  </si>
  <si>
    <t>V Ý D A J E   C E L K E M  (třída 5+6)</t>
  </si>
  <si>
    <t>Saldo příjmů a výdajů (Příjmy-Výdaje)</t>
  </si>
  <si>
    <t>3 359 600,00-</t>
  </si>
  <si>
    <t>5 493 578,73</t>
  </si>
  <si>
    <t>III. FINANCOVÁNÍ (zapojení vlastních úspor a cizích zdrojů)</t>
  </si>
  <si>
    <t>Název položky</t>
  </si>
  <si>
    <t>Krátkodobé financování z tuzemska</t>
  </si>
  <si>
    <t>Krátkodobé vydané dluhopisy                           (+)</t>
  </si>
  <si>
    <t>8111</t>
  </si>
  <si>
    <t>Uhrazené splátky krátkodobých vydaných dluhopisů      (-)</t>
  </si>
  <si>
    <t>8112</t>
  </si>
  <si>
    <t>Krátkodobé přijaté půjčené prostředky                 (+)</t>
  </si>
  <si>
    <t>8113</t>
  </si>
  <si>
    <t>Uhrazené splátky krátkodobých přijatých půjč. prostř. (-)</t>
  </si>
  <si>
    <t>8114</t>
  </si>
  <si>
    <t>Změna stavu krátkodobých prostředků na bank. účtech  (+-)</t>
  </si>
  <si>
    <t>8115</t>
  </si>
  <si>
    <t>3 359 600,00</t>
  </si>
  <si>
    <t>5 493 578,73-</t>
  </si>
  <si>
    <t>Aktivní krátkodobé operace řízení likvidity - příjmy  (+)</t>
  </si>
  <si>
    <t>8117</t>
  </si>
  <si>
    <t>Aktivní krátkodobé operace řízení likvidity - výdaje  (-)</t>
  </si>
  <si>
    <t>8118</t>
  </si>
  <si>
    <t>Dlouhodobé financování z tuzemska</t>
  </si>
  <si>
    <t>Dlouhodobé vydané dluhopisy                           (+)</t>
  </si>
  <si>
    <t>8121</t>
  </si>
  <si>
    <t>Uhrazené splátky dlouhodobých vydaných dluhopisů      (-)</t>
  </si>
  <si>
    <t>8122</t>
  </si>
  <si>
    <t>Dlouhodobé přijaté půjčené prostředky                 (+)</t>
  </si>
  <si>
    <t>8123</t>
  </si>
  <si>
    <t>Uhrazené splátky dlouhodobých přijatých půjč. prostř. (-)</t>
  </si>
  <si>
    <t>8124</t>
  </si>
  <si>
    <t>Změna stavu dlouhodobých prostředků na bank. účtech  (+-)</t>
  </si>
  <si>
    <t>8125</t>
  </si>
  <si>
    <t>Aktivní dlouhodobé operace řízení likvidity - příjmy  (+)</t>
  </si>
  <si>
    <t>8127</t>
  </si>
  <si>
    <t>Aktivní dlouhodobé operace řízení likvidity - výdaje  (-)</t>
  </si>
  <si>
    <t>8128</t>
  </si>
  <si>
    <t>Krátkodobé financování ze zahraničí</t>
  </si>
  <si>
    <t>8211</t>
  </si>
  <si>
    <t>8212</t>
  </si>
  <si>
    <t>8213</t>
  </si>
  <si>
    <t>8214</t>
  </si>
  <si>
    <t>8215</t>
  </si>
  <si>
    <t>8217</t>
  </si>
  <si>
    <t>8218</t>
  </si>
  <si>
    <t>Dlouhodobé financování ze zahraničí</t>
  </si>
  <si>
    <t>8221</t>
  </si>
  <si>
    <t>8222</t>
  </si>
  <si>
    <t>8223</t>
  </si>
  <si>
    <t>8224</t>
  </si>
  <si>
    <t>8225</t>
  </si>
  <si>
    <t>8227</t>
  </si>
  <si>
    <t>8228</t>
  </si>
  <si>
    <t>Opravné položky k peněžním operacím</t>
  </si>
  <si>
    <t>Operace z peněžních účtů organizace nemající charakter</t>
  </si>
  <si>
    <t>příjmů a výdajů vládního sektoru                   (+-)</t>
  </si>
  <si>
    <t>8901</t>
  </si>
  <si>
    <t>Nerealizované kurzové rozdíly pohybů na deviz.účtech (+-)</t>
  </si>
  <si>
    <t>8902</t>
  </si>
  <si>
    <t>Nepřevedené částky vyrovnávající schodek             (+-)</t>
  </si>
  <si>
    <t>8905</t>
  </si>
  <si>
    <t>FINANCOVÁNÍ (součet za třídu 8)</t>
  </si>
  <si>
    <t>IV. STAVY A OBRATY NA BANKOVNÍCH ÚČTECH</t>
  </si>
  <si>
    <t>Název bankovního účtu</t>
  </si>
  <si>
    <t>Počáteční stav k 1. 1.</t>
  </si>
  <si>
    <t>Obrat</t>
  </si>
  <si>
    <t>Konečný stav k 31.12.</t>
  </si>
  <si>
    <t>Změna stavu bankovních účtů</t>
  </si>
  <si>
    <t>Základní běžný účet ÚSC</t>
  </si>
  <si>
    <t>2 199 953,89</t>
  </si>
  <si>
    <t>5 412 344,31</t>
  </si>
  <si>
    <t>7 612 298,20</t>
  </si>
  <si>
    <t>5 412 344,31-</t>
  </si>
  <si>
    <t>Běžné účty fondů ÚSC</t>
  </si>
  <si>
    <t>89 440,72</t>
  </si>
  <si>
    <t>81 234,42</t>
  </si>
  <si>
    <t>170 675,14</t>
  </si>
  <si>
    <t>81 234,42-</t>
  </si>
  <si>
    <t>Běžné účty celkem</t>
  </si>
  <si>
    <t>2 289 394,61</t>
  </si>
  <si>
    <t>7 782 973,34</t>
  </si>
  <si>
    <t>Termínované vklady dlouhodobé</t>
  </si>
  <si>
    <t>Termínované vklady krátkodobé</t>
  </si>
  <si>
    <t>V. PENĚŽNÍ FONDY - INFORMATIVNĚ</t>
  </si>
  <si>
    <t>Počáteční zůstatek</t>
  </si>
  <si>
    <t>Příjmy celkem</t>
  </si>
  <si>
    <t>1 130 296,42</t>
  </si>
  <si>
    <t>Výdaje celkem</t>
  </si>
  <si>
    <t>1 049 062,00</t>
  </si>
  <si>
    <t>Konečný zůstatek  (rozdíl rozpočtu)</t>
  </si>
  <si>
    <t>Změna stavu</t>
  </si>
  <si>
    <t>Financování  - třída 8</t>
  </si>
  <si>
    <t>VI. MAJETEK</t>
  </si>
  <si>
    <t>Název majetkového účtu</t>
  </si>
  <si>
    <t>Počáteční stav k 1.1.</t>
  </si>
  <si>
    <t>Konečný stav</t>
  </si>
  <si>
    <t>Dlouhodobý nehmotný majetek</t>
  </si>
  <si>
    <t>Nehmotné výsledky výzkumu a vývoje</t>
  </si>
  <si>
    <t>Software</t>
  </si>
  <si>
    <t>256 445,00</t>
  </si>
  <si>
    <t>535 912,00</t>
  </si>
  <si>
    <t>Ocenitelná práva</t>
  </si>
  <si>
    <t>Drobný dlouhodobý nehmotný majetek</t>
  </si>
  <si>
    <t>2 658 173,51</t>
  </si>
  <si>
    <t>2 772 963,51</t>
  </si>
  <si>
    <t>Ostatní dlouhodobý nehmotný majetek</t>
  </si>
  <si>
    <t>Dlouhodobý hmotný majetek odpisovaný</t>
  </si>
  <si>
    <t>Stavby</t>
  </si>
  <si>
    <t>935 028 200,12</t>
  </si>
  <si>
    <t>12 624 341,03</t>
  </si>
  <si>
    <t>947 652 541,15</t>
  </si>
  <si>
    <t>Samostatné movité věci a soubory movitých věcí</t>
  </si>
  <si>
    <t>25 755 020,95</t>
  </si>
  <si>
    <t>3 401 979,20</t>
  </si>
  <si>
    <t>29 157 000,15</t>
  </si>
  <si>
    <t>Pěstitelské celky trvalých porostů</t>
  </si>
  <si>
    <t>Základní stádo a tažná zvířata</t>
  </si>
  <si>
    <t>Drobný dlouhodobý hmotný majetek</t>
  </si>
  <si>
    <t>23 400 901,07</t>
  </si>
  <si>
    <t>628 823,26</t>
  </si>
  <si>
    <t>24 029 724,33</t>
  </si>
  <si>
    <t>Ostatní dlouhodobý hmotný majetek</t>
  </si>
  <si>
    <t>Dlouhodobý hmotný majetek neodpisovaný</t>
  </si>
  <si>
    <t>Pozemky</t>
  </si>
  <si>
    <t>97 480 311,50</t>
  </si>
  <si>
    <t>1 493 487,00</t>
  </si>
  <si>
    <t>98 973 798,50</t>
  </si>
  <si>
    <t>Umělecká díla a předměty</t>
  </si>
  <si>
    <t>Nedokončený a pořizovaný dlouhodobý majetek</t>
  </si>
  <si>
    <t>Nedokončený dlouhodobý nehmotný majetek</t>
  </si>
  <si>
    <t>Nedokončený dlouhodobý hmotný majetek</t>
  </si>
  <si>
    <t>50 998 617,73</t>
  </si>
  <si>
    <t>3 927 834,45</t>
  </si>
  <si>
    <t>54 926 452,18</t>
  </si>
  <si>
    <t>Pořizovaný dlouhodobý finanční majetek</t>
  </si>
  <si>
    <t>Oprávky k dlouhodobému nehmotnému majetku</t>
  </si>
  <si>
    <t>Oprávky k nehmotným výsledkům výzkumu a vývoje</t>
  </si>
  <si>
    <t>Oprávky k softwaru</t>
  </si>
  <si>
    <t>190 138,00-</t>
  </si>
  <si>
    <t>42 479,00-</t>
  </si>
  <si>
    <t>232 617,00-</t>
  </si>
  <si>
    <t>Oprávky k ocenitelným právům</t>
  </si>
  <si>
    <t>Oprávky k drobnému dlouhodobému nehmotnému majetku</t>
  </si>
  <si>
    <t>2 658 173,51-</t>
  </si>
  <si>
    <t>114 790,00-</t>
  </si>
  <si>
    <t>2 772 963,51-</t>
  </si>
  <si>
    <t>Oprávky k ostatnímu dlouhodobému nehmotnému majetku</t>
  </si>
  <si>
    <t>Oprávky k dlouhodobému hmotnému majetku</t>
  </si>
  <si>
    <t>Oprávky ke stavbám</t>
  </si>
  <si>
    <t>287 249 825,00-</t>
  </si>
  <si>
    <t>12 172 069,78-</t>
  </si>
  <si>
    <t>299 421 894,78-</t>
  </si>
  <si>
    <t>Oprávky k samostatným movitým věcem a souborům movitých věcí</t>
  </si>
  <si>
    <t>10 394 407,00-</t>
  </si>
  <si>
    <t>1 590 498,00-</t>
  </si>
  <si>
    <t>11 984 905,00-</t>
  </si>
  <si>
    <t>Oprávky k pěstitelským celkům trvalých porostů</t>
  </si>
  <si>
    <t>Oprávky k základnímu stádu a tažným zvířatům</t>
  </si>
  <si>
    <t>Oprávky k drobnému dlouhodobému hmotnému majetku</t>
  </si>
  <si>
    <t>23 400 901,07-</t>
  </si>
  <si>
    <t>628 823,26-</t>
  </si>
  <si>
    <t>24 029 724,33-</t>
  </si>
  <si>
    <t>Oprávky k ostatnímu dlouhodobému hmotnému majetku</t>
  </si>
  <si>
    <t>127 273,00-</t>
  </si>
  <si>
    <t>54 552,00-</t>
  </si>
  <si>
    <t>181 825,00-</t>
  </si>
  <si>
    <t>VII. VYÚČTOVÁNÍ FIN. VZTAHŮ K ROZPOČTŮM KRAJŮ, OBCÍ, DSO A VNITŘNÍ PŘEVODY</t>
  </si>
  <si>
    <t>Položka</t>
  </si>
  <si>
    <t>Převody FKSP a sociál.fondu obcí a krajů</t>
  </si>
  <si>
    <t>VIII. VYÚČTOVÁNÍ FIN. VZTAHŮ KE ST. ROZPOČTU, ST. FONDŮM A NÁRODNÍMU FONDU</t>
  </si>
  <si>
    <t>UZ</t>
  </si>
  <si>
    <t>text</t>
  </si>
  <si>
    <t>Rozpočet upr. (Příjmy)</t>
  </si>
  <si>
    <t>Rozpočet upr. (Výdaje)</t>
  </si>
  <si>
    <t>Skutečnost (Příjmy)</t>
  </si>
  <si>
    <t>Skutečnost (Výdaje)</t>
  </si>
  <si>
    <t>Ostatní neinv.přijaté transfery ze st. rozpočtu</t>
  </si>
  <si>
    <t>x</t>
  </si>
  <si>
    <t>Nevyplacené soc. dávky r. 2011</t>
  </si>
  <si>
    <t>Povinné poj.na soc.zab.a přísp.na st.pol.zaměstnan</t>
  </si>
  <si>
    <t>Povinné poj.na veřejné zdravotní pojištění</t>
  </si>
  <si>
    <t>Dotace od MPSV pro PS</t>
  </si>
  <si>
    <t>JSDH - školení (státní dotace)</t>
  </si>
  <si>
    <t>Neinvestiční přijaté transf.z všeob.pokl.správy SR</t>
  </si>
  <si>
    <t>Nákup materiálu j.n.</t>
  </si>
  <si>
    <t>Volba Prezidenta ČR v roce 2012</t>
  </si>
  <si>
    <t>Volby do zastupitelstev krajů a PČR</t>
  </si>
  <si>
    <t>Cestovné (tuzemské i zahraniční)</t>
  </si>
  <si>
    <t>SPOD</t>
  </si>
  <si>
    <t>IX. ZPRÁVA O VÝSLEDKU PŘEZKOUMÁNÍ HOSPODAŘENÍ</t>
  </si>
  <si>
    <t>viz. příloha č. 1</t>
  </si>
  <si>
    <t>X. FINANČNÍ HOSPODAŘENÍ ZŘÍZENÝCH PRÁVNICKÝCH OSOB A HOSPODAŘENÍ S JEJICH MAJETKEM</t>
  </si>
  <si>
    <t>viz. příloha č. 2</t>
  </si>
  <si>
    <t>XI. OSTATNÍ DOPLŇUJÍCÍ ÚDAJE</t>
  </si>
  <si>
    <t>Licence: MC16</t>
  </si>
  <si>
    <t>XCRGBA1A / B1A  (08022013 15:19 / 201301141121)</t>
  </si>
  <si>
    <t>Ministerstvo financí</t>
  </si>
  <si>
    <t>FIN 2 - 12 M</t>
  </si>
  <si>
    <t>VÝKAZ PRO HODNOCENÍ PLNĚNÍ ROZPOČTU</t>
  </si>
  <si>
    <t>územních samosprávných celků, dobrovolných svazků obcí a regionálních rad</t>
  </si>
  <si>
    <t>sestavený k  13 / 2012</t>
  </si>
  <si>
    <t>(v Kč na dvě desetinná místa)</t>
  </si>
  <si>
    <t>Rok</t>
  </si>
  <si>
    <t>Měsíc</t>
  </si>
  <si>
    <t>IČO</t>
  </si>
  <si>
    <t>2012</t>
  </si>
  <si>
    <t>NS: 00241598</t>
  </si>
  <si>
    <t>Název a sídlo účetní jednotky:</t>
  </si>
  <si>
    <t>15300  Praha - Praha - Radotín</t>
  </si>
  <si>
    <t>I. ROZPOČTOVÉ PŘÍJMY</t>
  </si>
  <si>
    <t>Paragraf</t>
  </si>
  <si>
    <t>Výsledek od počátku roku</t>
  </si>
  <si>
    <t>% RS</t>
  </si>
  <si>
    <t>% RU</t>
  </si>
  <si>
    <t>a</t>
  </si>
  <si>
    <t>b</t>
  </si>
  <si>
    <t>3</t>
  </si>
  <si>
    <t>0000</t>
  </si>
  <si>
    <t>102,33</t>
  </si>
  <si>
    <t>29,36</t>
  </si>
  <si>
    <t>110,67</t>
  </si>
  <si>
    <t>105,87</t>
  </si>
  <si>
    <t>58,15</t>
  </si>
  <si>
    <t>114,19</t>
  </si>
  <si>
    <t>100,16</t>
  </si>
  <si>
    <t>******</t>
  </si>
  <si>
    <t>Odvod výtěžku z provozování loterií</t>
  </si>
  <si>
    <t>26,07</t>
  </si>
  <si>
    <t>34,76</t>
  </si>
  <si>
    <t>69,37</t>
  </si>
  <si>
    <t>100,02</t>
  </si>
  <si>
    <t>100,49</t>
  </si>
  <si>
    <t>Splátky půjčených prostředků od obyvatelstva</t>
  </si>
  <si>
    <t>100,00</t>
  </si>
  <si>
    <t>Neinv.př.transfery ze SR v rámci souhr.dot.vztahu</t>
  </si>
  <si>
    <t>126,97</t>
  </si>
  <si>
    <t>Převody z vlast.fondů hospodářské(podnikat.)činnos</t>
  </si>
  <si>
    <t>211,79</t>
  </si>
  <si>
    <t>80,72</t>
  </si>
  <si>
    <t>Neinvestiční transfery přijaté od Evropské unie</t>
  </si>
  <si>
    <t>99,70</t>
  </si>
  <si>
    <t>Bez ODPA</t>
  </si>
  <si>
    <t>187 890 000,00</t>
  </si>
  <si>
    <t>213 251 800,00</t>
  </si>
  <si>
    <t>192 075 196,24</t>
  </si>
  <si>
    <t>102,23</t>
  </si>
  <si>
    <t>90,07</t>
  </si>
  <si>
    <t>3314</t>
  </si>
  <si>
    <t>125 000,00</t>
  </si>
  <si>
    <t>145 000,00</t>
  </si>
  <si>
    <t>162 965,00</t>
  </si>
  <si>
    <t>130,37</t>
  </si>
  <si>
    <t>112,39</t>
  </si>
  <si>
    <t>Činnosti knihovnické</t>
  </si>
  <si>
    <t>3319</t>
  </si>
  <si>
    <t>52 200,00</t>
  </si>
  <si>
    <t>47,45</t>
  </si>
  <si>
    <t>Ostatní záležitosti kultury</t>
  </si>
  <si>
    <t>3612</t>
  </si>
  <si>
    <t>12 000 000,00</t>
  </si>
  <si>
    <t>Bytové hospodářství</t>
  </si>
  <si>
    <t>4351</t>
  </si>
  <si>
    <t>479 621,00</t>
  </si>
  <si>
    <t>102,05</t>
  </si>
  <si>
    <t>95,92</t>
  </si>
  <si>
    <t>Osobní asist., peč.služba a podpora samost.bydlení</t>
  </si>
  <si>
    <t>6171</t>
  </si>
  <si>
    <t>122,44</t>
  </si>
  <si>
    <t>99,95</t>
  </si>
  <si>
    <t>95,82</t>
  </si>
  <si>
    <t>101,43</t>
  </si>
  <si>
    <t>Příj.z úhrad dobývacího prostoru a z vydobyt.neros</t>
  </si>
  <si>
    <t>185,02</t>
  </si>
  <si>
    <t>91,37</t>
  </si>
  <si>
    <t>Činnost místní správy</t>
  </si>
  <si>
    <t>4 089 500,00</t>
  </si>
  <si>
    <t>4 047 862,35</t>
  </si>
  <si>
    <t>578,27</t>
  </si>
  <si>
    <t>98,98</t>
  </si>
  <si>
    <t>6310</t>
  </si>
  <si>
    <t>68,58</t>
  </si>
  <si>
    <t>Obecné příjmy a výdaje z finančních operací</t>
  </si>
  <si>
    <t>6402</t>
  </si>
  <si>
    <t>Přijaté vratky transferů od jiných veř. rozpočtů</t>
  </si>
  <si>
    <t>Finanční vypořádání minulých let</t>
  </si>
  <si>
    <t>ROZPOČTOVÉ PŘÍJMY CELKEM</t>
  </si>
  <si>
    <t>97,44</t>
  </si>
  <si>
    <t>90,20</t>
  </si>
  <si>
    <t>II. ROZPOČTOVÉ VÝDAJE</t>
  </si>
  <si>
    <t>224 000,00</t>
  </si>
  <si>
    <t>224 035,00</t>
  </si>
  <si>
    <t>224,04</t>
  </si>
  <si>
    <t>728 000,00</t>
  </si>
  <si>
    <t>728 495,20</t>
  </si>
  <si>
    <t>728,50</t>
  </si>
  <si>
    <t>100,07</t>
  </si>
  <si>
    <t>Silnice</t>
  </si>
  <si>
    <t>952 000,00</t>
  </si>
  <si>
    <t>952 530,20</t>
  </si>
  <si>
    <t>476,27</t>
  </si>
  <si>
    <t>100,06</t>
  </si>
  <si>
    <t>2219</t>
  </si>
  <si>
    <t>45 000,00</t>
  </si>
  <si>
    <t>31 775,00</t>
  </si>
  <si>
    <t>211,83</t>
  </si>
  <si>
    <t>70,61</t>
  </si>
  <si>
    <t>90 000,00</t>
  </si>
  <si>
    <t>90 240,00</t>
  </si>
  <si>
    <t>100,27</t>
  </si>
  <si>
    <t>48 000,00</t>
  </si>
  <si>
    <t>128 000,00</t>
  </si>
  <si>
    <t>126 206,00</t>
  </si>
  <si>
    <t>262,93</t>
  </si>
  <si>
    <t>98,60</t>
  </si>
  <si>
    <t>37 000,00</t>
  </si>
  <si>
    <t>121 000,00</t>
  </si>
  <si>
    <t>121 397,68</t>
  </si>
  <si>
    <t>328,10</t>
  </si>
  <si>
    <t>100,33</t>
  </si>
  <si>
    <t>351 000,00</t>
  </si>
  <si>
    <t>351 274,00</t>
  </si>
  <si>
    <t>100,08</t>
  </si>
  <si>
    <t>Ostatní záležitosti pozemních komunikací</t>
  </si>
  <si>
    <t>735 000,00</t>
  </si>
  <si>
    <t>720 892,68</t>
  </si>
  <si>
    <t>720,89</t>
  </si>
  <si>
    <t>98,08</t>
  </si>
  <si>
    <t>50 000,00</t>
  </si>
  <si>
    <t>14 341,20</t>
  </si>
  <si>
    <t>28,68</t>
  </si>
  <si>
    <t>62 000,00</t>
  </si>
  <si>
    <t>61 740,00</t>
  </si>
  <si>
    <t>99,58</t>
  </si>
  <si>
    <t>Odvádění a čištění odpadních vod a nakl.s kaly</t>
  </si>
  <si>
    <t>112 000,00</t>
  </si>
  <si>
    <t>76 081,20</t>
  </si>
  <si>
    <t>152,16</t>
  </si>
  <si>
    <t>67,93</t>
  </si>
  <si>
    <t>2339</t>
  </si>
  <si>
    <t>109 000,00</t>
  </si>
  <si>
    <t>108 513,00</t>
  </si>
  <si>
    <t>99,55</t>
  </si>
  <si>
    <t>Záležitosti vodních toků a vodohosp.děl j.n.</t>
  </si>
  <si>
    <t>3111</t>
  </si>
  <si>
    <t>24 000,00</t>
  </si>
  <si>
    <t>99 000,00</t>
  </si>
  <si>
    <t>88 796,30</t>
  </si>
  <si>
    <t>44,40</t>
  </si>
  <si>
    <t>89,69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</si>
</sst>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0"/>
    <numFmt numFmtId="167" formatCode="0.000000"/>
    <numFmt numFmtId="168" formatCode="0.00000"/>
    <numFmt numFmtId="169" formatCode="0.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0000"/>
    <numFmt numFmtId="174" formatCode="[$-405]d\.\ mmmm\ yyyy"/>
    <numFmt numFmtId="175" formatCode="0.0%"/>
    <numFmt numFmtId="176" formatCode="0.0000000000"/>
    <numFmt numFmtId="177" formatCode="#,##0.00_-;[Red]#,##0.00\-"/>
    <numFmt numFmtId="178" formatCode="#,##0.00_-;[Red]#,##0.00\-;\,"/>
  </numFmts>
  <fonts count="83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10"/>
      <name val="Arial CE"/>
      <family val="0"/>
    </font>
    <font>
      <i/>
      <sz val="8"/>
      <name val="Arial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9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i/>
      <sz val="8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strike/>
      <sz val="9"/>
      <name val="Arial"/>
      <family val="0"/>
    </font>
    <font>
      <strike/>
      <sz val="6"/>
      <name val="Arial"/>
      <family val="0"/>
    </font>
    <font>
      <sz val="7"/>
      <name val="Arial CE"/>
      <family val="0"/>
    </font>
    <font>
      <sz val="8"/>
      <color indexed="12"/>
      <name val="Arial"/>
      <family val="0"/>
    </font>
    <font>
      <sz val="7"/>
      <color indexed="12"/>
      <name val="Arial"/>
      <family val="0"/>
    </font>
    <font>
      <sz val="8"/>
      <color indexed="20"/>
      <name val="Arial"/>
      <family val="0"/>
    </font>
    <font>
      <sz val="9"/>
      <color indexed="20"/>
      <name val="Arial"/>
      <family val="0"/>
    </font>
    <font>
      <sz val="10"/>
      <color indexed="20"/>
      <name val="Arial"/>
      <family val="0"/>
    </font>
    <font>
      <b/>
      <sz val="8"/>
      <color indexed="20"/>
      <name val="Arial"/>
      <family val="2"/>
    </font>
    <font>
      <b/>
      <sz val="8"/>
      <color indexed="20"/>
      <name val="Arial CE"/>
      <family val="0"/>
    </font>
    <font>
      <i/>
      <sz val="8"/>
      <color indexed="20"/>
      <name val="Arial"/>
      <family val="0"/>
    </font>
    <font>
      <b/>
      <sz val="7"/>
      <name val="Arial CE"/>
      <family val="0"/>
    </font>
    <font>
      <sz val="8"/>
      <color indexed="20"/>
      <name val="Arial CE"/>
      <family val="0"/>
    </font>
    <font>
      <b/>
      <sz val="9"/>
      <name val="Arial CE"/>
      <family val="0"/>
    </font>
    <font>
      <b/>
      <sz val="8"/>
      <name val="Courier New"/>
      <family val="3"/>
    </font>
    <font>
      <b/>
      <sz val="9"/>
      <name val="Courier New"/>
      <family val="3"/>
    </font>
    <font>
      <b/>
      <sz val="9"/>
      <color indexed="21"/>
      <name val="Courier New"/>
      <family val="3"/>
    </font>
    <font>
      <sz val="9"/>
      <color indexed="21"/>
      <name val="Arial"/>
      <family val="0"/>
    </font>
    <font>
      <i/>
      <sz val="7"/>
      <name val="Arial"/>
      <family val="0"/>
    </font>
    <font>
      <sz val="8"/>
      <color indexed="12"/>
      <name val="Arial CE"/>
      <family val="0"/>
    </font>
    <font>
      <sz val="6"/>
      <name val="Arial"/>
      <family val="0"/>
    </font>
    <font>
      <sz val="8"/>
      <color indexed="10"/>
      <name val="Arial"/>
      <family val="0"/>
    </font>
    <font>
      <b/>
      <sz val="8"/>
      <color indexed="10"/>
      <name val="Arial"/>
      <family val="0"/>
    </font>
    <font>
      <i/>
      <sz val="8"/>
      <color indexed="12"/>
      <name val="Arial"/>
      <family val="0"/>
    </font>
    <font>
      <b/>
      <i/>
      <sz val="8"/>
      <name val="Arial CE"/>
      <family val="2"/>
    </font>
    <font>
      <b/>
      <i/>
      <sz val="7"/>
      <name val="Arial CE"/>
      <family val="0"/>
    </font>
    <font>
      <b/>
      <i/>
      <sz val="6"/>
      <name val="Arial CE"/>
      <family val="0"/>
    </font>
    <font>
      <b/>
      <sz val="11"/>
      <name val="Arial CE"/>
      <family val="2"/>
    </font>
    <font>
      <i/>
      <sz val="7"/>
      <name val="Arial CE"/>
      <family val="2"/>
    </font>
    <font>
      <b/>
      <i/>
      <sz val="11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trike/>
      <sz val="8"/>
      <name val="Arial CE"/>
      <family val="0"/>
    </font>
    <font>
      <i/>
      <sz val="9"/>
      <name val="Arial CE"/>
      <family val="0"/>
    </font>
    <font>
      <sz val="6"/>
      <name val="Arial CE"/>
      <family val="2"/>
    </font>
    <font>
      <b/>
      <sz val="6"/>
      <name val="Arial CE"/>
      <family val="2"/>
    </font>
    <font>
      <i/>
      <sz val="6"/>
      <name val="Arial CE"/>
      <family val="0"/>
    </font>
    <font>
      <b/>
      <sz val="12"/>
      <name val="Arial CE"/>
      <family val="2"/>
    </font>
    <font>
      <b/>
      <i/>
      <sz val="12"/>
      <name val="Arial CE"/>
      <family val="0"/>
    </font>
    <font>
      <b/>
      <i/>
      <sz val="13"/>
      <name val="Arial CE"/>
      <family val="0"/>
    </font>
    <font>
      <b/>
      <i/>
      <sz val="10"/>
      <name val="Arial CE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23"/>
      <name val="Arial"/>
      <family val="2"/>
    </font>
    <font>
      <b/>
      <u val="single"/>
      <sz val="11"/>
      <color indexed="18"/>
      <name val="Arial"/>
      <family val="2"/>
    </font>
    <font>
      <i/>
      <sz val="7"/>
      <color indexed="8"/>
      <name val="Arial"/>
      <family val="2"/>
    </font>
    <font>
      <b/>
      <sz val="10"/>
      <color indexed="18"/>
      <name val="Arial"/>
      <family val="2"/>
    </font>
    <font>
      <sz val="8"/>
      <color indexed="8"/>
      <name val="Times New Roman"/>
      <family val="1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10"/>
      <name val="Arial"/>
      <family val="2"/>
    </font>
    <font>
      <sz val="12"/>
      <color indexed="8"/>
      <name val="Arial"/>
      <family val="2"/>
    </font>
    <font>
      <sz val="7"/>
      <color indexed="8"/>
      <name val="Arial Black"/>
      <family val="2"/>
    </font>
    <font>
      <b/>
      <u val="single"/>
      <sz val="10"/>
      <color indexed="18"/>
      <name val="Arial"/>
      <family val="2"/>
    </font>
    <font>
      <b/>
      <i/>
      <sz val="8"/>
      <color indexed="8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18"/>
      <name val="Arial"/>
      <family val="2"/>
    </font>
    <font>
      <b/>
      <i/>
      <sz val="7"/>
      <color indexed="8"/>
      <name val="Arial"/>
      <family val="2"/>
    </font>
    <font>
      <i/>
      <sz val="5"/>
      <color indexed="8"/>
      <name val="Arial"/>
      <family val="2"/>
    </font>
    <font>
      <b/>
      <i/>
      <sz val="5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9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/>
    </xf>
    <xf numFmtId="0" fontId="9" fillId="2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0" fillId="0" borderId="0" xfId="0" applyFont="1" applyAlignment="1">
      <alignment/>
    </xf>
    <xf numFmtId="4" fontId="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4" fontId="3" fillId="2" borderId="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10" fontId="6" fillId="0" borderId="0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10" fontId="2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4" borderId="0" xfId="0" applyNumberFormat="1" applyFont="1" applyFill="1" applyBorder="1" applyAlignment="1">
      <alignment/>
    </xf>
    <xf numFmtId="0" fontId="8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64" fontId="2" fillId="4" borderId="0" xfId="0" applyNumberFormat="1" applyFont="1" applyFill="1" applyBorder="1" applyAlignment="1">
      <alignment/>
    </xf>
    <xf numFmtId="0" fontId="2" fillId="4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0" fontId="12" fillId="2" borderId="0" xfId="0" applyNumberFormat="1" applyFont="1" applyFill="1" applyBorder="1" applyAlignment="1">
      <alignment/>
    </xf>
    <xf numFmtId="10" fontId="6" fillId="3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1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64" fontId="2" fillId="4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0" fontId="12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 wrapText="1"/>
    </xf>
    <xf numFmtId="4" fontId="6" fillId="0" borderId="0" xfId="0" applyNumberFormat="1" applyFont="1" applyFill="1" applyBorder="1" applyAlignment="1">
      <alignment/>
    </xf>
    <xf numFmtId="4" fontId="3" fillId="5" borderId="0" xfId="0" applyNumberFormat="1" applyFont="1" applyFill="1" applyBorder="1" applyAlignment="1">
      <alignment/>
    </xf>
    <xf numFmtId="4" fontId="3" fillId="3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" fontId="18" fillId="0" borderId="0" xfId="0" applyNumberFormat="1" applyFont="1" applyFill="1" applyBorder="1" applyAlignment="1">
      <alignment/>
    </xf>
    <xf numFmtId="4" fontId="18" fillId="4" borderId="0" xfId="0" applyNumberFormat="1" applyFont="1" applyFill="1" applyBorder="1" applyAlignment="1">
      <alignment/>
    </xf>
    <xf numFmtId="4" fontId="18" fillId="4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24" fillId="4" borderId="0" xfId="0" applyFont="1" applyFill="1" applyBorder="1" applyAlignment="1">
      <alignment horizontal="center" wrapText="1"/>
    </xf>
    <xf numFmtId="10" fontId="25" fillId="4" borderId="0" xfId="0" applyNumberFormat="1" applyFont="1" applyFill="1" applyAlignment="1">
      <alignment horizontal="center"/>
    </xf>
    <xf numFmtId="10" fontId="25" fillId="4" borderId="0" xfId="0" applyNumberFormat="1" applyFont="1" applyFill="1" applyAlignment="1">
      <alignment/>
    </xf>
    <xf numFmtId="4" fontId="20" fillId="4" borderId="0" xfId="0" applyNumberFormat="1" applyFont="1" applyFill="1" applyBorder="1" applyAlignment="1">
      <alignment/>
    </xf>
    <xf numFmtId="0" fontId="26" fillId="4" borderId="0" xfId="0" applyFont="1" applyFill="1" applyBorder="1" applyAlignment="1">
      <alignment horizontal="center" wrapText="1"/>
    </xf>
    <xf numFmtId="4" fontId="27" fillId="0" borderId="0" xfId="0" applyNumberFormat="1" applyFont="1" applyFill="1" applyBorder="1" applyAlignment="1">
      <alignment/>
    </xf>
    <xf numFmtId="4" fontId="20" fillId="5" borderId="0" xfId="0" applyNumberFormat="1" applyFont="1" applyFill="1" applyAlignment="1">
      <alignment/>
    </xf>
    <xf numFmtId="0" fontId="29" fillId="0" borderId="0" xfId="0" applyFont="1" applyAlignment="1">
      <alignment/>
    </xf>
    <xf numFmtId="164" fontId="3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164" fontId="1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 wrapText="1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/>
    </xf>
    <xf numFmtId="10" fontId="33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0" fontId="9" fillId="0" borderId="0" xfId="0" applyFont="1" applyFill="1" applyAlignment="1">
      <alignment wrapText="1"/>
    </xf>
    <xf numFmtId="0" fontId="0" fillId="0" borderId="0" xfId="0" applyFont="1" applyAlignment="1">
      <alignment/>
    </xf>
    <xf numFmtId="164" fontId="3" fillId="3" borderId="0" xfId="0" applyNumberFormat="1" applyFont="1" applyFill="1" applyBorder="1" applyAlignment="1">
      <alignment/>
    </xf>
    <xf numFmtId="164" fontId="3" fillId="5" borderId="0" xfId="0" applyNumberFormat="1" applyFont="1" applyFill="1" applyBorder="1" applyAlignment="1">
      <alignment/>
    </xf>
    <xf numFmtId="0" fontId="2" fillId="5" borderId="0" xfId="0" applyFont="1" applyFill="1" applyBorder="1" applyAlignment="1">
      <alignment/>
    </xf>
    <xf numFmtId="4" fontId="18" fillId="4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3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3" borderId="0" xfId="0" applyNumberFormat="1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4" fontId="2" fillId="0" borderId="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1" fillId="4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35" fillId="0" borderId="0" xfId="0" applyNumberFormat="1" applyFont="1" applyFill="1" applyBorder="1" applyAlignment="1">
      <alignment wrapText="1"/>
    </xf>
    <xf numFmtId="4" fontId="1" fillId="6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wrapText="1"/>
    </xf>
    <xf numFmtId="4" fontId="19" fillId="0" borderId="0" xfId="0" applyNumberFormat="1" applyFont="1" applyFill="1" applyBorder="1" applyAlignment="1">
      <alignment/>
    </xf>
    <xf numFmtId="4" fontId="1" fillId="7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4" fontId="1" fillId="8" borderId="0" xfId="0" applyNumberFormat="1" applyFont="1" applyFill="1" applyBorder="1" applyAlignment="1">
      <alignment vertical="center" wrapText="1"/>
    </xf>
    <xf numFmtId="4" fontId="0" fillId="9" borderId="0" xfId="0" applyNumberFormat="1" applyFont="1" applyFill="1" applyAlignment="1">
      <alignment/>
    </xf>
    <xf numFmtId="4" fontId="3" fillId="2" borderId="0" xfId="0" applyNumberFormat="1" applyFont="1" applyFill="1" applyBorder="1" applyAlignment="1">
      <alignment/>
    </xf>
    <xf numFmtId="4" fontId="36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4" borderId="0" xfId="0" applyNumberFormat="1" applyFont="1" applyFill="1" applyBorder="1" applyAlignment="1">
      <alignment vertical="center" wrapText="1"/>
    </xf>
    <xf numFmtId="4" fontId="2" fillId="4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4" fontId="3" fillId="3" borderId="0" xfId="0" applyNumberFormat="1" applyFont="1" applyFill="1" applyBorder="1" applyAlignment="1">
      <alignment/>
    </xf>
    <xf numFmtId="4" fontId="37" fillId="3" borderId="0" xfId="0" applyNumberFormat="1" applyFont="1" applyFill="1" applyBorder="1" applyAlignment="1">
      <alignment/>
    </xf>
    <xf numFmtId="4" fontId="37" fillId="3" borderId="0" xfId="0" applyNumberFormat="1" applyFont="1" applyFill="1" applyBorder="1" applyAlignment="1">
      <alignment horizontal="right"/>
    </xf>
    <xf numFmtId="4" fontId="9" fillId="7" borderId="0" xfId="0" applyNumberFormat="1" applyFont="1" applyFill="1" applyBorder="1" applyAlignment="1">
      <alignment vertical="center" wrapText="1"/>
    </xf>
    <xf numFmtId="4" fontId="0" fillId="7" borderId="0" xfId="0" applyNumberFormat="1" applyFont="1" applyFill="1" applyAlignment="1">
      <alignment/>
    </xf>
    <xf numFmtId="4" fontId="1" fillId="10" borderId="0" xfId="0" applyNumberFormat="1" applyFont="1" applyFill="1" applyBorder="1" applyAlignment="1">
      <alignment vertical="center" wrapText="1"/>
    </xf>
    <xf numFmtId="4" fontId="0" fillId="10" borderId="0" xfId="0" applyNumberFormat="1" applyFont="1" applyFill="1" applyAlignment="1">
      <alignment/>
    </xf>
    <xf numFmtId="4" fontId="2" fillId="5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4" fontId="6" fillId="0" borderId="0" xfId="0" applyNumberFormat="1" applyFont="1" applyAlignment="1">
      <alignment/>
    </xf>
    <xf numFmtId="4" fontId="39" fillId="0" borderId="0" xfId="0" applyNumberFormat="1" applyFont="1" applyAlignment="1">
      <alignment horizontal="center" wrapText="1"/>
    </xf>
    <xf numFmtId="4" fontId="39" fillId="0" borderId="0" xfId="0" applyNumberFormat="1" applyFont="1" applyFill="1" applyAlignment="1">
      <alignment horizontal="center" wrapText="1"/>
    </xf>
    <xf numFmtId="0" fontId="42" fillId="0" borderId="0" xfId="0" applyFont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4" fontId="39" fillId="0" borderId="0" xfId="0" applyNumberFormat="1" applyFont="1" applyFill="1" applyAlignment="1">
      <alignment horizontal="center" vertical="top" wrapText="1"/>
    </xf>
    <xf numFmtId="4" fontId="39" fillId="0" borderId="0" xfId="0" applyNumberFormat="1" applyFont="1" applyFill="1" applyAlignment="1">
      <alignment horizontal="center" wrapText="1"/>
    </xf>
    <xf numFmtId="4" fontId="39" fillId="4" borderId="0" xfId="0" applyNumberFormat="1" applyFont="1" applyFill="1" applyAlignment="1">
      <alignment horizontal="center" wrapText="1"/>
    </xf>
    <xf numFmtId="4" fontId="42" fillId="0" borderId="0" xfId="0" applyNumberFormat="1" applyFont="1" applyFill="1" applyAlignment="1">
      <alignment horizontal="center" wrapText="1"/>
    </xf>
    <xf numFmtId="4" fontId="44" fillId="0" borderId="0" xfId="0" applyNumberFormat="1" applyFont="1" applyAlignment="1">
      <alignment horizontal="center" wrapText="1"/>
    </xf>
    <xf numFmtId="0" fontId="45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/>
    </xf>
    <xf numFmtId="4" fontId="46" fillId="7" borderId="0" xfId="0" applyNumberFormat="1" applyFont="1" applyFill="1" applyAlignment="1">
      <alignment/>
    </xf>
    <xf numFmtId="4" fontId="5" fillId="7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47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46" fillId="2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14" fillId="0" borderId="0" xfId="0" applyNumberFormat="1" applyFont="1" applyAlignment="1">
      <alignment/>
    </xf>
    <xf numFmtId="4" fontId="46" fillId="7" borderId="0" xfId="0" applyNumberFormat="1" applyFont="1" applyFill="1" applyAlignment="1">
      <alignment/>
    </xf>
    <xf numFmtId="4" fontId="46" fillId="4" borderId="0" xfId="0" applyNumberFormat="1" applyFont="1" applyFill="1" applyAlignment="1">
      <alignment/>
    </xf>
    <xf numFmtId="4" fontId="46" fillId="4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" fontId="0" fillId="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46" fillId="6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4" fontId="46" fillId="6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4" fontId="26" fillId="4" borderId="0" xfId="0" applyNumberFormat="1" applyFont="1" applyFill="1" applyAlignment="1">
      <alignment/>
    </xf>
    <xf numFmtId="0" fontId="45" fillId="0" borderId="0" xfId="0" applyFont="1" applyFill="1" applyAlignment="1">
      <alignment wrapText="1"/>
    </xf>
    <xf numFmtId="0" fontId="45" fillId="0" borderId="0" xfId="0" applyFont="1" applyFill="1" applyAlignment="1">
      <alignment/>
    </xf>
    <xf numFmtId="4" fontId="46" fillId="9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46" fillId="8" borderId="0" xfId="0" applyNumberFormat="1" applyFont="1" applyFill="1" applyAlignment="1">
      <alignment/>
    </xf>
    <xf numFmtId="4" fontId="17" fillId="0" borderId="0" xfId="0" applyNumberFormat="1" applyFont="1" applyFill="1" applyAlignment="1">
      <alignment horizontal="center"/>
    </xf>
    <xf numFmtId="4" fontId="49" fillId="0" borderId="0" xfId="0" applyNumberFormat="1" applyFont="1" applyFill="1" applyAlignment="1">
      <alignment/>
    </xf>
    <xf numFmtId="0" fontId="33" fillId="0" borderId="0" xfId="0" applyFont="1" applyAlignment="1">
      <alignment/>
    </xf>
    <xf numFmtId="0" fontId="1" fillId="0" borderId="0" xfId="0" applyFont="1" applyAlignment="1">
      <alignment/>
    </xf>
    <xf numFmtId="4" fontId="33" fillId="0" borderId="0" xfId="0" applyNumberFormat="1" applyFont="1" applyFill="1" applyAlignment="1">
      <alignment/>
    </xf>
    <xf numFmtId="4" fontId="26" fillId="6" borderId="0" xfId="0" applyNumberFormat="1" applyFont="1" applyFill="1" applyAlignment="1">
      <alignment/>
    </xf>
    <xf numFmtId="4" fontId="28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28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26" fillId="2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0" fontId="35" fillId="0" borderId="0" xfId="0" applyFont="1" applyAlignment="1">
      <alignment/>
    </xf>
    <xf numFmtId="4" fontId="35" fillId="0" borderId="0" xfId="0" applyNumberFormat="1" applyFont="1" applyFill="1" applyAlignment="1">
      <alignment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Alignment="1">
      <alignment/>
    </xf>
    <xf numFmtId="4" fontId="35" fillId="0" borderId="0" xfId="0" applyNumberFormat="1" applyFont="1" applyAlignment="1">
      <alignment/>
    </xf>
    <xf numFmtId="4" fontId="51" fillId="2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4" fontId="8" fillId="2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" fontId="0" fillId="7" borderId="0" xfId="0" applyNumberFormat="1" applyFont="1" applyFill="1" applyAlignment="1">
      <alignment/>
    </xf>
    <xf numFmtId="4" fontId="17" fillId="0" borderId="0" xfId="0" applyNumberFormat="1" applyFont="1" applyFill="1" applyAlignment="1">
      <alignment wrapText="1"/>
    </xf>
    <xf numFmtId="0" fontId="45" fillId="0" borderId="0" xfId="0" applyFont="1" applyFill="1" applyAlignment="1">
      <alignment wrapText="1"/>
    </xf>
    <xf numFmtId="0" fontId="33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4" fontId="26" fillId="2" borderId="0" xfId="0" applyNumberFormat="1" applyFont="1" applyFill="1" applyAlignment="1">
      <alignment/>
    </xf>
    <xf numFmtId="4" fontId="2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46" fillId="0" borderId="0" xfId="0" applyFont="1" applyAlignment="1">
      <alignment horizontal="center"/>
    </xf>
    <xf numFmtId="3" fontId="46" fillId="0" borderId="0" xfId="0" applyNumberFormat="1" applyFont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2" xfId="0" applyFont="1" applyBorder="1" applyAlignment="1">
      <alignment horizontal="center"/>
    </xf>
    <xf numFmtId="0" fontId="46" fillId="0" borderId="3" xfId="0" applyFont="1" applyBorder="1" applyAlignment="1">
      <alignment horizontal="center"/>
    </xf>
    <xf numFmtId="3" fontId="46" fillId="0" borderId="3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4" xfId="0" applyFont="1" applyBorder="1" applyAlignment="1">
      <alignment horizontal="center"/>
    </xf>
    <xf numFmtId="0" fontId="46" fillId="0" borderId="4" xfId="0" applyFont="1" applyBorder="1" applyAlignment="1">
      <alignment/>
    </xf>
    <xf numFmtId="3" fontId="46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46" fillId="0" borderId="6" xfId="0" applyNumberFormat="1" applyFont="1" applyBorder="1" applyAlignment="1">
      <alignment/>
    </xf>
    <xf numFmtId="0" fontId="47" fillId="0" borderId="6" xfId="0" applyFont="1" applyBorder="1" applyAlignment="1">
      <alignment/>
    </xf>
    <xf numFmtId="4" fontId="28" fillId="0" borderId="6" xfId="0" applyNumberFormat="1" applyFont="1" applyBorder="1" applyAlignment="1">
      <alignment/>
    </xf>
    <xf numFmtId="0" fontId="47" fillId="0" borderId="0" xfId="0" applyFont="1" applyAlignment="1">
      <alignment/>
    </xf>
    <xf numFmtId="0" fontId="47" fillId="0" borderId="7" xfId="0" applyFont="1" applyBorder="1" applyAlignment="1">
      <alignment/>
    </xf>
    <xf numFmtId="4" fontId="28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46" fillId="0" borderId="8" xfId="0" applyNumberFormat="1" applyFont="1" applyBorder="1" applyAlignment="1">
      <alignment/>
    </xf>
    <xf numFmtId="0" fontId="46" fillId="0" borderId="5" xfId="0" applyFont="1" applyBorder="1" applyAlignment="1">
      <alignment/>
    </xf>
    <xf numFmtId="0" fontId="0" fillId="0" borderId="6" xfId="0" applyBorder="1" applyAlignment="1">
      <alignment/>
    </xf>
    <xf numFmtId="4" fontId="46" fillId="0" borderId="6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6" xfId="0" applyFont="1" applyBorder="1" applyAlignment="1">
      <alignment horizontal="left"/>
    </xf>
    <xf numFmtId="49" fontId="47" fillId="0" borderId="6" xfId="0" applyNumberFormat="1" applyFont="1" applyBorder="1" applyAlignment="1">
      <alignment horizontal="left"/>
    </xf>
    <xf numFmtId="0" fontId="47" fillId="0" borderId="8" xfId="0" applyFont="1" applyBorder="1" applyAlignment="1">
      <alignment horizontal="left"/>
    </xf>
    <xf numFmtId="49" fontId="47" fillId="0" borderId="8" xfId="0" applyNumberFormat="1" applyFont="1" applyBorder="1" applyAlignment="1">
      <alignment horizontal="left" wrapText="1" indent="3"/>
    </xf>
    <xf numFmtId="4" fontId="28" fillId="0" borderId="6" xfId="0" applyNumberFormat="1" applyFont="1" applyBorder="1" applyAlignment="1">
      <alignment/>
    </xf>
    <xf numFmtId="49" fontId="47" fillId="0" borderId="8" xfId="0" applyNumberFormat="1" applyFont="1" applyBorder="1" applyAlignment="1">
      <alignment horizontal="left" indent="3"/>
    </xf>
    <xf numFmtId="4" fontId="28" fillId="0" borderId="6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46" fillId="0" borderId="8" xfId="0" applyFont="1" applyBorder="1" applyAlignment="1">
      <alignment horizontal="left"/>
    </xf>
    <xf numFmtId="0" fontId="47" fillId="0" borderId="8" xfId="0" applyFont="1" applyBorder="1" applyAlignment="1">
      <alignment horizontal="left" indent="3"/>
    </xf>
    <xf numFmtId="0" fontId="47" fillId="0" borderId="8" xfId="0" applyFont="1" applyBorder="1" applyAlignment="1">
      <alignment horizontal="left" wrapText="1" indent="3"/>
    </xf>
    <xf numFmtId="4" fontId="28" fillId="0" borderId="8" xfId="0" applyNumberFormat="1" applyFont="1" applyBorder="1" applyAlignment="1">
      <alignment/>
    </xf>
    <xf numFmtId="49" fontId="47" fillId="0" borderId="8" xfId="0" applyNumberFormat="1" applyFont="1" applyBorder="1" applyAlignment="1">
      <alignment horizontal="left"/>
    </xf>
    <xf numFmtId="49" fontId="47" fillId="0" borderId="8" xfId="0" applyNumberFormat="1" applyFont="1" applyBorder="1" applyAlignment="1">
      <alignment horizontal="left" wrapText="1" indent="3"/>
    </xf>
    <xf numFmtId="49" fontId="47" fillId="0" borderId="0" xfId="0" applyNumberFormat="1" applyFont="1" applyAlignment="1">
      <alignment/>
    </xf>
    <xf numFmtId="0" fontId="0" fillId="0" borderId="7" xfId="0" applyBorder="1" applyAlignment="1">
      <alignment/>
    </xf>
    <xf numFmtId="0" fontId="56" fillId="0" borderId="11" xfId="0" applyFont="1" applyBorder="1" applyAlignment="1">
      <alignment/>
    </xf>
    <xf numFmtId="4" fontId="56" fillId="0" borderId="11" xfId="0" applyNumberFormat="1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5" xfId="0" applyFont="1" applyBorder="1" applyAlignment="1">
      <alignment/>
    </xf>
    <xf numFmtId="4" fontId="46" fillId="0" borderId="5" xfId="0" applyNumberFormat="1" applyFont="1" applyBorder="1" applyAlignment="1">
      <alignment/>
    </xf>
    <xf numFmtId="0" fontId="0" fillId="0" borderId="12" xfId="0" applyBorder="1" applyAlignment="1">
      <alignment/>
    </xf>
    <xf numFmtId="0" fontId="46" fillId="0" borderId="6" xfId="0" applyFont="1" applyBorder="1" applyAlignment="1">
      <alignment/>
    </xf>
    <xf numFmtId="0" fontId="46" fillId="0" borderId="12" xfId="0" applyFont="1" applyBorder="1" applyAlignment="1">
      <alignment horizontal="left"/>
    </xf>
    <xf numFmtId="0" fontId="47" fillId="0" borderId="12" xfId="0" applyFont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6" xfId="0" applyFont="1" applyFill="1" applyBorder="1" applyAlignment="1">
      <alignment horizontal="left" indent="3"/>
    </xf>
    <xf numFmtId="4" fontId="28" fillId="0" borderId="6" xfId="0" applyNumberFormat="1" applyFont="1" applyFill="1" applyBorder="1" applyAlignment="1">
      <alignment/>
    </xf>
    <xf numFmtId="0" fontId="47" fillId="0" borderId="6" xfId="0" applyFont="1" applyBorder="1" applyAlignment="1">
      <alignment horizontal="left" indent="3"/>
    </xf>
    <xf numFmtId="0" fontId="46" fillId="0" borderId="12" xfId="0" applyFont="1" applyBorder="1" applyAlignment="1">
      <alignment/>
    </xf>
    <xf numFmtId="0" fontId="56" fillId="0" borderId="13" xfId="0" applyFont="1" applyBorder="1" applyAlignment="1">
      <alignment/>
    </xf>
    <xf numFmtId="4" fontId="56" fillId="0" borderId="13" xfId="0" applyNumberFormat="1" applyFont="1" applyBorder="1" applyAlignment="1">
      <alignment/>
    </xf>
    <xf numFmtId="0" fontId="56" fillId="0" borderId="11" xfId="0" applyFont="1" applyBorder="1" applyAlignment="1">
      <alignment/>
    </xf>
    <xf numFmtId="0" fontId="47" fillId="0" borderId="6" xfId="0" applyFont="1" applyFill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4" fontId="28" fillId="0" borderId="16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9" fillId="3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" fontId="21" fillId="4" borderId="0" xfId="0" applyNumberFormat="1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7" fillId="0" borderId="17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3" fillId="4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4" fontId="3" fillId="5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11" borderId="0" xfId="0" applyFont="1" applyFill="1" applyAlignment="1">
      <alignment horizontal="center"/>
    </xf>
    <xf numFmtId="49" fontId="57" fillId="0" borderId="0" xfId="0" applyNumberFormat="1" applyFont="1" applyAlignment="1">
      <alignment horizontal="center" vertical="top" wrapText="1"/>
    </xf>
    <xf numFmtId="49" fontId="58" fillId="0" borderId="0" xfId="0" applyNumberFormat="1" applyFont="1" applyAlignment="1">
      <alignment horizontal="center" vertical="top" wrapText="1"/>
    </xf>
    <xf numFmtId="49" fontId="57" fillId="0" borderId="0" xfId="0" applyNumberFormat="1" applyFont="1" applyAlignment="1">
      <alignment horizontal="center" vertical="top" wrapText="1"/>
    </xf>
    <xf numFmtId="49" fontId="59" fillId="0" borderId="0" xfId="0" applyNumberFormat="1" applyFont="1" applyAlignment="1">
      <alignment horizontal="center" vertical="top" wrapText="1"/>
    </xf>
    <xf numFmtId="49" fontId="59" fillId="0" borderId="0" xfId="0" applyNumberFormat="1" applyFont="1" applyAlignment="1">
      <alignment horizontal="center" vertical="top" wrapText="1"/>
    </xf>
    <xf numFmtId="49" fontId="57" fillId="0" borderId="0" xfId="0" applyNumberFormat="1" applyFont="1" applyAlignment="1">
      <alignment horizontal="left" vertical="top" wrapText="1"/>
    </xf>
    <xf numFmtId="49" fontId="57" fillId="0" borderId="0" xfId="0" applyNumberFormat="1" applyFont="1" applyAlignment="1">
      <alignment horizontal="left" vertical="top" wrapText="1"/>
    </xf>
    <xf numFmtId="49" fontId="60" fillId="0" borderId="0" xfId="0" applyNumberFormat="1" applyFont="1" applyAlignment="1">
      <alignment horizontal="left" vertical="top" wrapText="1"/>
    </xf>
    <xf numFmtId="49" fontId="61" fillId="0" borderId="0" xfId="0" applyNumberFormat="1" applyFont="1" applyAlignment="1">
      <alignment horizontal="left" vertical="top" wrapText="1"/>
    </xf>
    <xf numFmtId="49" fontId="60" fillId="0" borderId="18" xfId="0" applyNumberFormat="1" applyFont="1" applyBorder="1" applyAlignment="1">
      <alignment horizontal="left" vertical="top" wrapText="1"/>
    </xf>
    <xf numFmtId="49" fontId="62" fillId="0" borderId="18" xfId="0" applyNumberFormat="1" applyFont="1" applyBorder="1" applyAlignment="1">
      <alignment horizontal="left" vertical="top" wrapText="1"/>
    </xf>
    <xf numFmtId="49" fontId="63" fillId="12" borderId="0" xfId="0" applyNumberFormat="1" applyFont="1" applyFill="1" applyAlignment="1">
      <alignment horizontal="left" vertical="top" wrapText="1"/>
    </xf>
    <xf numFmtId="49" fontId="59" fillId="0" borderId="0" xfId="0" applyNumberFormat="1" applyFont="1" applyAlignment="1">
      <alignment horizontal="left" vertical="top" wrapText="1"/>
    </xf>
    <xf numFmtId="49" fontId="64" fillId="0" borderId="18" xfId="0" applyNumberFormat="1" applyFont="1" applyBorder="1" applyAlignment="1">
      <alignment horizontal="left" vertical="top" wrapText="1"/>
    </xf>
    <xf numFmtId="49" fontId="65" fillId="12" borderId="19" xfId="0" applyNumberFormat="1" applyFont="1" applyFill="1" applyBorder="1" applyAlignment="1">
      <alignment horizontal="left" vertical="top" wrapText="1"/>
    </xf>
    <xf numFmtId="49" fontId="65" fillId="12" borderId="19" xfId="0" applyNumberFormat="1" applyFont="1" applyFill="1" applyBorder="1" applyAlignment="1">
      <alignment horizontal="right" vertical="top" wrapText="1"/>
    </xf>
    <xf numFmtId="49" fontId="60" fillId="0" borderId="0" xfId="0" applyNumberFormat="1" applyFont="1" applyAlignment="1">
      <alignment horizontal="right" vertical="top" wrapText="1"/>
    </xf>
    <xf numFmtId="49" fontId="60" fillId="0" borderId="18" xfId="0" applyNumberFormat="1" applyFont="1" applyBorder="1" applyAlignment="1">
      <alignment horizontal="right" vertical="top" wrapText="1"/>
    </xf>
    <xf numFmtId="49" fontId="60" fillId="0" borderId="19" xfId="0" applyNumberFormat="1" applyFont="1" applyBorder="1" applyAlignment="1">
      <alignment horizontal="left" vertical="top" wrapText="1"/>
    </xf>
    <xf numFmtId="49" fontId="60" fillId="0" borderId="19" xfId="0" applyNumberFormat="1" applyFont="1" applyBorder="1" applyAlignment="1">
      <alignment horizontal="right" vertical="top" wrapText="1"/>
    </xf>
    <xf numFmtId="49" fontId="59" fillId="12" borderId="20" xfId="0" applyNumberFormat="1" applyFont="1" applyFill="1" applyBorder="1" applyAlignment="1">
      <alignment horizontal="left" vertical="top" wrapText="1"/>
    </xf>
    <xf numFmtId="49" fontId="60" fillId="12" borderId="20" xfId="0" applyNumberFormat="1" applyFont="1" applyFill="1" applyBorder="1" applyAlignment="1">
      <alignment horizontal="right" vertical="top" wrapText="1"/>
    </xf>
    <xf numFmtId="49" fontId="36" fillId="0" borderId="19" xfId="0" applyNumberFormat="1" applyFont="1" applyBorder="1" applyAlignment="1">
      <alignment horizontal="right" vertical="top" wrapText="1"/>
    </xf>
    <xf numFmtId="49" fontId="36" fillId="0" borderId="18" xfId="0" applyNumberFormat="1" applyFont="1" applyBorder="1" applyAlignment="1">
      <alignment horizontal="right" vertical="top" wrapText="1"/>
    </xf>
    <xf numFmtId="49" fontId="36" fillId="12" borderId="20" xfId="0" applyNumberFormat="1" applyFont="1" applyFill="1" applyBorder="1" applyAlignment="1">
      <alignment horizontal="right" vertical="top" wrapText="1"/>
    </xf>
    <xf numFmtId="49" fontId="61" fillId="13" borderId="20" xfId="0" applyNumberFormat="1" applyFont="1" applyFill="1" applyBorder="1" applyAlignment="1">
      <alignment horizontal="left" vertical="top" wrapText="1"/>
    </xf>
    <xf numFmtId="49" fontId="59" fillId="13" borderId="20" xfId="0" applyNumberFormat="1" applyFont="1" applyFill="1" applyBorder="1" applyAlignment="1">
      <alignment horizontal="right" vertical="top" wrapText="1"/>
    </xf>
    <xf numFmtId="49" fontId="66" fillId="13" borderId="20" xfId="0" applyNumberFormat="1" applyFont="1" applyFill="1" applyBorder="1" applyAlignment="1">
      <alignment horizontal="left" vertical="top" wrapText="1"/>
    </xf>
    <xf numFmtId="49" fontId="59" fillId="13" borderId="20" xfId="0" applyNumberFormat="1" applyFont="1" applyFill="1" applyBorder="1" applyAlignment="1">
      <alignment horizontal="right" wrapText="1"/>
    </xf>
    <xf numFmtId="49" fontId="37" fillId="13" borderId="20" xfId="0" applyNumberFormat="1" applyFont="1" applyFill="1" applyBorder="1" applyAlignment="1">
      <alignment horizontal="right" wrapText="1"/>
    </xf>
    <xf numFmtId="49" fontId="59" fillId="12" borderId="19" xfId="0" applyNumberFormat="1" applyFont="1" applyFill="1" applyBorder="1" applyAlignment="1">
      <alignment horizontal="left" vertical="top" wrapText="1"/>
    </xf>
    <xf numFmtId="49" fontId="67" fillId="0" borderId="0" xfId="0" applyNumberFormat="1" applyFont="1" applyAlignment="1">
      <alignment horizontal="left" vertical="top" wrapText="1"/>
    </xf>
    <xf numFmtId="49" fontId="36" fillId="0" borderId="0" xfId="0" applyNumberFormat="1" applyFont="1" applyAlignment="1">
      <alignment horizontal="right" vertical="top" wrapText="1"/>
    </xf>
    <xf numFmtId="49" fontId="59" fillId="12" borderId="20" xfId="0" applyNumberFormat="1" applyFont="1" applyFill="1" applyBorder="1" applyAlignment="1">
      <alignment horizontal="right" vertical="top" wrapText="1"/>
    </xf>
    <xf numFmtId="49" fontId="37" fillId="12" borderId="20" xfId="0" applyNumberFormat="1" applyFont="1" applyFill="1" applyBorder="1" applyAlignment="1">
      <alignment horizontal="right" vertical="top" wrapText="1"/>
    </xf>
    <xf numFmtId="49" fontId="68" fillId="0" borderId="0" xfId="0" applyNumberFormat="1" applyFont="1" applyAlignment="1">
      <alignment horizontal="left" vertical="top" wrapText="1"/>
    </xf>
    <xf numFmtId="49" fontId="65" fillId="12" borderId="20" xfId="0" applyNumberFormat="1" applyFont="1" applyFill="1" applyBorder="1" applyAlignment="1">
      <alignment horizontal="left" vertical="top" wrapText="1"/>
    </xf>
    <xf numFmtId="49" fontId="65" fillId="12" borderId="20" xfId="0" applyNumberFormat="1" applyFont="1" applyFill="1" applyBorder="1" applyAlignment="1">
      <alignment horizontal="right" vertical="top" wrapText="1"/>
    </xf>
    <xf numFmtId="0" fontId="68" fillId="0" borderId="0" xfId="0" applyFont="1" applyAlignment="1">
      <alignment horizontal="left" vertical="top"/>
    </xf>
    <xf numFmtId="0" fontId="69" fillId="0" borderId="0" xfId="0" applyFont="1" applyAlignment="1">
      <alignment horizontal="left" vertical="top"/>
    </xf>
    <xf numFmtId="177" fontId="68" fillId="0" borderId="0" xfId="0" applyNumberFormat="1" applyFont="1" applyAlignment="1">
      <alignment horizontal="right" vertical="top"/>
    </xf>
    <xf numFmtId="49" fontId="68" fillId="0" borderId="0" xfId="0" applyNumberFormat="1" applyFont="1" applyAlignment="1">
      <alignment horizontal="right" vertical="top" wrapText="1"/>
    </xf>
    <xf numFmtId="0" fontId="69" fillId="12" borderId="18" xfId="0" applyFont="1" applyFill="1" applyBorder="1" applyAlignment="1">
      <alignment horizontal="left" vertical="top"/>
    </xf>
    <xf numFmtId="49" fontId="69" fillId="12" borderId="18" xfId="0" applyNumberFormat="1" applyFont="1" applyFill="1" applyBorder="1" applyAlignment="1">
      <alignment horizontal="left" vertical="top" wrapText="1"/>
    </xf>
    <xf numFmtId="177" fontId="69" fillId="12" borderId="18" xfId="0" applyNumberFormat="1" applyFont="1" applyFill="1" applyBorder="1" applyAlignment="1">
      <alignment horizontal="right" vertical="top"/>
    </xf>
    <xf numFmtId="0" fontId="68" fillId="0" borderId="19" xfId="0" applyFont="1" applyBorder="1" applyAlignment="1">
      <alignment horizontal="left" vertical="top"/>
    </xf>
    <xf numFmtId="0" fontId="69" fillId="0" borderId="19" xfId="0" applyFont="1" applyBorder="1" applyAlignment="1">
      <alignment horizontal="left" vertical="top"/>
    </xf>
    <xf numFmtId="49" fontId="68" fillId="0" borderId="19" xfId="0" applyNumberFormat="1" applyFont="1" applyBorder="1" applyAlignment="1">
      <alignment horizontal="left" vertical="top" wrapText="1"/>
    </xf>
    <xf numFmtId="177" fontId="68" fillId="0" borderId="19" xfId="0" applyNumberFormat="1" applyFont="1" applyBorder="1" applyAlignment="1">
      <alignment horizontal="right" vertical="top"/>
    </xf>
    <xf numFmtId="49" fontId="68" fillId="0" borderId="19" xfId="0" applyNumberFormat="1" applyFont="1" applyBorder="1" applyAlignment="1">
      <alignment horizontal="right" vertical="top" wrapText="1"/>
    </xf>
    <xf numFmtId="49" fontId="64" fillId="0" borderId="0" xfId="0" applyNumberFormat="1" applyFont="1" applyAlignment="1">
      <alignment horizontal="left" vertical="top" wrapText="1"/>
    </xf>
    <xf numFmtId="49" fontId="70" fillId="12" borderId="0" xfId="0" applyNumberFormat="1" applyFont="1" applyFill="1" applyAlignment="1">
      <alignment horizontal="left" vertical="top" wrapText="1"/>
    </xf>
    <xf numFmtId="49" fontId="71" fillId="0" borderId="19" xfId="0" applyNumberFormat="1" applyFont="1" applyBorder="1" applyAlignment="1">
      <alignment horizontal="left" vertical="top" wrapText="1"/>
    </xf>
    <xf numFmtId="49" fontId="65" fillId="0" borderId="18" xfId="0" applyNumberFormat="1" applyFont="1" applyBorder="1" applyAlignment="1">
      <alignment horizontal="left" vertical="top"/>
    </xf>
    <xf numFmtId="49" fontId="65" fillId="0" borderId="18" xfId="0" applyNumberFormat="1" applyFont="1" applyBorder="1" applyAlignment="1">
      <alignment horizontal="right" vertical="top" wrapText="1"/>
    </xf>
    <xf numFmtId="49" fontId="61" fillId="12" borderId="0" xfId="0" applyNumberFormat="1" applyFont="1" applyFill="1" applyAlignment="1">
      <alignment horizontal="right" vertical="top" wrapText="1"/>
    </xf>
    <xf numFmtId="49" fontId="67" fillId="0" borderId="0" xfId="0" applyNumberFormat="1" applyFont="1" applyAlignment="1">
      <alignment horizontal="left" vertical="top" wrapText="1"/>
    </xf>
    <xf numFmtId="49" fontId="60" fillId="0" borderId="0" xfId="0" applyNumberFormat="1" applyFont="1" applyAlignment="1">
      <alignment horizontal="left" vertical="center" wrapText="1"/>
    </xf>
    <xf numFmtId="49" fontId="60" fillId="12" borderId="0" xfId="0" applyNumberFormat="1" applyFont="1" applyFill="1" applyAlignment="1">
      <alignment horizontal="left" vertical="top" wrapText="1"/>
    </xf>
    <xf numFmtId="49" fontId="72" fillId="0" borderId="0" xfId="0" applyNumberFormat="1" applyFont="1" applyAlignment="1">
      <alignment horizontal="left" vertical="top" wrapText="1"/>
    </xf>
    <xf numFmtId="49" fontId="59" fillId="12" borderId="0" xfId="0" applyNumberFormat="1" applyFont="1" applyFill="1" applyAlignment="1">
      <alignment horizontal="left" vertical="top" wrapText="1"/>
    </xf>
    <xf numFmtId="49" fontId="73" fillId="0" borderId="18" xfId="0" applyNumberFormat="1" applyFont="1" applyBorder="1" applyAlignment="1">
      <alignment horizontal="left" vertical="top" wrapText="1"/>
    </xf>
    <xf numFmtId="49" fontId="65" fillId="12" borderId="18" xfId="0" applyNumberFormat="1" applyFont="1" applyFill="1" applyBorder="1" applyAlignment="1">
      <alignment horizontal="left" vertical="top" wrapText="1"/>
    </xf>
    <xf numFmtId="49" fontId="65" fillId="12" borderId="18" xfId="0" applyNumberFormat="1" applyFont="1" applyFill="1" applyBorder="1" applyAlignment="1">
      <alignment horizontal="right" vertical="top" wrapText="1"/>
    </xf>
    <xf numFmtId="49" fontId="59" fillId="12" borderId="0" xfId="0" applyNumberFormat="1" applyFont="1" applyFill="1" applyBorder="1" applyAlignment="1">
      <alignment horizontal="left" vertical="top" wrapText="1"/>
    </xf>
    <xf numFmtId="49" fontId="60" fillId="12" borderId="0" xfId="0" applyNumberFormat="1" applyFont="1" applyFill="1" applyBorder="1" applyAlignment="1">
      <alignment horizontal="right" vertical="top" wrapText="1"/>
    </xf>
    <xf numFmtId="49" fontId="62" fillId="12" borderId="0" xfId="0" applyNumberFormat="1" applyFont="1" applyFill="1" applyBorder="1" applyAlignment="1">
      <alignment horizontal="right" vertical="top" wrapText="1"/>
    </xf>
    <xf numFmtId="49" fontId="62" fillId="0" borderId="0" xfId="0" applyNumberFormat="1" applyFont="1" applyAlignment="1">
      <alignment horizontal="right" vertical="top" wrapText="1"/>
    </xf>
    <xf numFmtId="49" fontId="59" fillId="12" borderId="18" xfId="0" applyNumberFormat="1" applyFont="1" applyFill="1" applyBorder="1" applyAlignment="1">
      <alignment horizontal="left" vertical="top" wrapText="1"/>
    </xf>
    <xf numFmtId="49" fontId="60" fillId="12" borderId="18" xfId="0" applyNumberFormat="1" applyFont="1" applyFill="1" applyBorder="1" applyAlignment="1">
      <alignment horizontal="right" vertical="top" wrapText="1"/>
    </xf>
    <xf numFmtId="49" fontId="62" fillId="12" borderId="18" xfId="0" applyNumberFormat="1" applyFont="1" applyFill="1" applyBorder="1" applyAlignment="1">
      <alignment horizontal="right" vertical="top" wrapText="1"/>
    </xf>
    <xf numFmtId="49" fontId="59" fillId="0" borderId="19" xfId="0" applyNumberFormat="1" applyFont="1" applyBorder="1" applyAlignment="1">
      <alignment horizontal="left" vertical="top" wrapText="1"/>
    </xf>
    <xf numFmtId="49" fontId="62" fillId="0" borderId="19" xfId="0" applyNumberFormat="1" applyFont="1" applyBorder="1" applyAlignment="1">
      <alignment horizontal="right" vertical="top" wrapText="1"/>
    </xf>
    <xf numFmtId="49" fontId="36" fillId="12" borderId="18" xfId="0" applyNumberFormat="1" applyFont="1" applyFill="1" applyBorder="1" applyAlignment="1">
      <alignment horizontal="right" vertical="top" wrapText="1"/>
    </xf>
    <xf numFmtId="49" fontId="66" fillId="12" borderId="20" xfId="0" applyNumberFormat="1" applyFont="1" applyFill="1" applyBorder="1" applyAlignment="1">
      <alignment horizontal="left" vertical="top" wrapText="1"/>
    </xf>
    <xf numFmtId="49" fontId="74" fillId="12" borderId="20" xfId="0" applyNumberFormat="1" applyFont="1" applyFill="1" applyBorder="1" applyAlignment="1">
      <alignment horizontal="right" vertical="top" wrapText="1"/>
    </xf>
    <xf numFmtId="49" fontId="67" fillId="0" borderId="19" xfId="0" applyNumberFormat="1" applyFont="1" applyBorder="1" applyAlignment="1">
      <alignment horizontal="left" vertical="top" wrapText="1"/>
    </xf>
    <xf numFmtId="49" fontId="75" fillId="0" borderId="0" xfId="0" applyNumberFormat="1" applyFont="1" applyAlignment="1">
      <alignment horizontal="right" vertical="top" wrapText="1"/>
    </xf>
    <xf numFmtId="49" fontId="73" fillId="0" borderId="20" xfId="0" applyNumberFormat="1" applyFont="1" applyBorder="1" applyAlignment="1">
      <alignment horizontal="left" vertical="top" wrapText="1"/>
    </xf>
    <xf numFmtId="49" fontId="59" fillId="0" borderId="0" xfId="0" applyNumberFormat="1" applyFont="1" applyAlignment="1">
      <alignment horizontal="right" vertical="top" wrapText="1"/>
    </xf>
    <xf numFmtId="49" fontId="67" fillId="0" borderId="18" xfId="0" applyNumberFormat="1" applyFont="1" applyBorder="1" applyAlignment="1">
      <alignment horizontal="left" vertical="top" wrapText="1"/>
    </xf>
    <xf numFmtId="49" fontId="59" fillId="0" borderId="18" xfId="0" applyNumberFormat="1" applyFont="1" applyBorder="1" applyAlignment="1">
      <alignment horizontal="right" vertical="top" wrapText="1"/>
    </xf>
    <xf numFmtId="49" fontId="62" fillId="0" borderId="18" xfId="0" applyNumberFormat="1" applyFont="1" applyBorder="1" applyAlignment="1">
      <alignment horizontal="right" vertical="top" wrapText="1"/>
    </xf>
    <xf numFmtId="49" fontId="76" fillId="12" borderId="20" xfId="0" applyNumberFormat="1" applyFont="1" applyFill="1" applyBorder="1" applyAlignment="1">
      <alignment horizontal="right" vertical="top" wrapText="1"/>
    </xf>
    <xf numFmtId="49" fontId="62" fillId="12" borderId="20" xfId="0" applyNumberFormat="1" applyFont="1" applyFill="1" applyBorder="1" applyAlignment="1">
      <alignment horizontal="right" vertical="top" wrapText="1"/>
    </xf>
    <xf numFmtId="49" fontId="59" fillId="0" borderId="20" xfId="0" applyNumberFormat="1" applyFont="1" applyBorder="1" applyAlignment="1">
      <alignment horizontal="left" vertical="top" wrapText="1"/>
    </xf>
    <xf numFmtId="49" fontId="59" fillId="0" borderId="20" xfId="0" applyNumberFormat="1" applyFont="1" applyBorder="1" applyAlignment="1">
      <alignment horizontal="right" vertical="top" wrapText="1"/>
    </xf>
    <xf numFmtId="49" fontId="60" fillId="0" borderId="20" xfId="0" applyNumberFormat="1" applyFont="1" applyBorder="1" applyAlignment="1">
      <alignment horizontal="right" vertical="top" wrapText="1"/>
    </xf>
    <xf numFmtId="49" fontId="62" fillId="0" borderId="20" xfId="0" applyNumberFormat="1" applyFont="1" applyBorder="1" applyAlignment="1">
      <alignment horizontal="right" vertical="top" wrapText="1"/>
    </xf>
    <xf numFmtId="49" fontId="59" fillId="0" borderId="21" xfId="0" applyNumberFormat="1" applyFont="1" applyBorder="1" applyAlignment="1">
      <alignment horizontal="left" vertical="top" wrapText="1"/>
    </xf>
    <xf numFmtId="49" fontId="60" fillId="0" borderId="21" xfId="0" applyNumberFormat="1" applyFont="1" applyBorder="1" applyAlignment="1">
      <alignment horizontal="left" vertical="top" wrapText="1"/>
    </xf>
    <xf numFmtId="49" fontId="60" fillId="0" borderId="21" xfId="0" applyNumberFormat="1" applyFont="1" applyBorder="1" applyAlignment="1">
      <alignment horizontal="right" vertical="top" wrapText="1"/>
    </xf>
    <xf numFmtId="49" fontId="62" fillId="0" borderId="21" xfId="0" applyNumberFormat="1" applyFont="1" applyBorder="1" applyAlignment="1">
      <alignment horizontal="right" vertical="top" wrapText="1"/>
    </xf>
    <xf numFmtId="49" fontId="59" fillId="0" borderId="22" xfId="0" applyNumberFormat="1" applyFont="1" applyBorder="1" applyAlignment="1">
      <alignment horizontal="left" vertical="top" wrapText="1"/>
    </xf>
    <xf numFmtId="49" fontId="60" fillId="0" borderId="22" xfId="0" applyNumberFormat="1" applyFont="1" applyBorder="1" applyAlignment="1">
      <alignment horizontal="left" vertical="top" wrapText="1"/>
    </xf>
    <xf numFmtId="49" fontId="60" fillId="0" borderId="22" xfId="0" applyNumberFormat="1" applyFont="1" applyBorder="1" applyAlignment="1">
      <alignment horizontal="right" vertical="top" wrapText="1"/>
    </xf>
    <xf numFmtId="49" fontId="62" fillId="0" borderId="22" xfId="0" applyNumberFormat="1" applyFont="1" applyBorder="1" applyAlignment="1">
      <alignment horizontal="right" vertical="top" wrapText="1"/>
    </xf>
    <xf numFmtId="49" fontId="59" fillId="0" borderId="23" xfId="0" applyNumberFormat="1" applyFont="1" applyBorder="1" applyAlignment="1">
      <alignment horizontal="left" vertical="top" wrapText="1"/>
    </xf>
    <xf numFmtId="49" fontId="60" fillId="0" borderId="23" xfId="0" applyNumberFormat="1" applyFont="1" applyBorder="1" applyAlignment="1">
      <alignment horizontal="left" vertical="top" wrapText="1"/>
    </xf>
    <xf numFmtId="49" fontId="60" fillId="0" borderId="23" xfId="0" applyNumberFormat="1" applyFont="1" applyBorder="1" applyAlignment="1">
      <alignment horizontal="right" vertical="top" wrapText="1"/>
    </xf>
    <xf numFmtId="49" fontId="62" fillId="0" borderId="23" xfId="0" applyNumberFormat="1" applyFont="1" applyBorder="1" applyAlignment="1">
      <alignment horizontal="right" vertical="top" wrapText="1"/>
    </xf>
    <xf numFmtId="49" fontId="77" fillId="12" borderId="20" xfId="0" applyNumberFormat="1" applyFont="1" applyFill="1" applyBorder="1" applyAlignment="1">
      <alignment horizontal="left" vertical="top" wrapText="1"/>
    </xf>
    <xf numFmtId="49" fontId="68" fillId="0" borderId="20" xfId="0" applyNumberFormat="1" applyFont="1" applyBorder="1" applyAlignment="1">
      <alignment horizontal="left" vertical="top" wrapText="1"/>
    </xf>
    <xf numFmtId="49" fontId="59" fillId="0" borderId="18" xfId="0" applyNumberFormat="1" applyFont="1" applyBorder="1" applyAlignment="1">
      <alignment horizontal="left" vertical="top" wrapText="1"/>
    </xf>
    <xf numFmtId="49" fontId="73" fillId="0" borderId="0" xfId="0" applyNumberFormat="1" applyFont="1" applyAlignment="1">
      <alignment horizontal="left" vertical="top" wrapText="1"/>
    </xf>
    <xf numFmtId="49" fontId="59" fillId="12" borderId="19" xfId="0" applyNumberFormat="1" applyFont="1" applyFill="1" applyBorder="1" applyAlignment="1">
      <alignment horizontal="right" vertical="top" wrapText="1"/>
    </xf>
    <xf numFmtId="49" fontId="60" fillId="12" borderId="19" xfId="0" applyNumberFormat="1" applyFont="1" applyFill="1" applyBorder="1" applyAlignment="1">
      <alignment horizontal="right" vertical="top" wrapText="1"/>
    </xf>
    <xf numFmtId="49" fontId="62" fillId="12" borderId="19" xfId="0" applyNumberFormat="1" applyFont="1" applyFill="1" applyBorder="1" applyAlignment="1">
      <alignment horizontal="right" vertical="top" wrapText="1"/>
    </xf>
    <xf numFmtId="49" fontId="65" fillId="12" borderId="19" xfId="0" applyNumberFormat="1" applyFont="1" applyFill="1" applyBorder="1" applyAlignment="1">
      <alignment horizontal="right" vertical="top" wrapText="1"/>
    </xf>
    <xf numFmtId="49" fontId="65" fillId="12" borderId="18" xfId="0" applyNumberFormat="1" applyFont="1" applyFill="1" applyBorder="1" applyAlignment="1">
      <alignment horizontal="right" vertical="top" wrapText="1"/>
    </xf>
    <xf numFmtId="49" fontId="74" fillId="12" borderId="20" xfId="0" applyNumberFormat="1" applyFont="1" applyFill="1" applyBorder="1" applyAlignment="1">
      <alignment horizontal="right" vertical="top" wrapText="1"/>
    </xf>
    <xf numFmtId="49" fontId="65" fillId="0" borderId="19" xfId="0" applyNumberFormat="1" applyFont="1" applyBorder="1" applyAlignment="1">
      <alignment horizontal="left" vertical="top"/>
    </xf>
    <xf numFmtId="49" fontId="65" fillId="0" borderId="19" xfId="0" applyNumberFormat="1" applyFont="1" applyBorder="1" applyAlignment="1">
      <alignment horizontal="center" vertical="top"/>
    </xf>
    <xf numFmtId="49" fontId="65" fillId="0" borderId="19" xfId="0" applyNumberFormat="1" applyFont="1" applyBorder="1" applyAlignment="1">
      <alignment horizontal="right" vertical="top"/>
    </xf>
    <xf numFmtId="49" fontId="61" fillId="0" borderId="18" xfId="0" applyNumberFormat="1" applyFont="1" applyBorder="1" applyAlignment="1">
      <alignment horizontal="left" vertical="top" wrapText="1"/>
    </xf>
    <xf numFmtId="49" fontId="65" fillId="12" borderId="24" xfId="0" applyNumberFormat="1" applyFont="1" applyFill="1" applyBorder="1" applyAlignment="1">
      <alignment horizontal="right" vertical="top" wrapText="1"/>
    </xf>
    <xf numFmtId="49" fontId="78" fillId="12" borderId="25" xfId="0" applyNumberFormat="1" applyFont="1" applyFill="1" applyBorder="1" applyAlignment="1">
      <alignment horizontal="center" vertical="top" wrapText="1"/>
    </xf>
    <xf numFmtId="49" fontId="78" fillId="12" borderId="20" xfId="0" applyNumberFormat="1" applyFont="1" applyFill="1" applyBorder="1" applyAlignment="1">
      <alignment horizontal="center" vertical="top" wrapText="1"/>
    </xf>
    <xf numFmtId="49" fontId="78" fillId="12" borderId="26" xfId="0" applyNumberFormat="1" applyFont="1" applyFill="1" applyBorder="1" applyAlignment="1">
      <alignment horizontal="center" vertical="top" wrapText="1"/>
    </xf>
    <xf numFmtId="49" fontId="65" fillId="12" borderId="0" xfId="0" applyNumberFormat="1" applyFont="1" applyFill="1" applyAlignment="1">
      <alignment horizontal="left" vertical="top" wrapText="1"/>
    </xf>
    <xf numFmtId="49" fontId="65" fillId="12" borderId="0" xfId="0" applyNumberFormat="1" applyFont="1" applyFill="1" applyAlignment="1">
      <alignment horizontal="right" vertical="top" wrapText="1"/>
    </xf>
    <xf numFmtId="49" fontId="65" fillId="12" borderId="27" xfId="0" applyNumberFormat="1" applyFont="1" applyFill="1" applyBorder="1" applyAlignment="1">
      <alignment horizontal="right" vertical="top" wrapText="1"/>
    </xf>
    <xf numFmtId="49" fontId="65" fillId="12" borderId="28" xfId="0" applyNumberFormat="1" applyFont="1" applyFill="1" applyBorder="1" applyAlignment="1">
      <alignment horizontal="right" vertical="top" wrapText="1"/>
    </xf>
    <xf numFmtId="49" fontId="65" fillId="12" borderId="0" xfId="0" applyNumberFormat="1" applyFont="1" applyFill="1" applyAlignment="1">
      <alignment horizontal="right" vertical="top" wrapText="1"/>
    </xf>
    <xf numFmtId="49" fontId="79" fillId="12" borderId="0" xfId="0" applyNumberFormat="1" applyFont="1" applyFill="1" applyAlignment="1">
      <alignment horizontal="left" vertical="top" wrapText="1"/>
    </xf>
    <xf numFmtId="49" fontId="79" fillId="12" borderId="0" xfId="0" applyNumberFormat="1" applyFont="1" applyFill="1" applyAlignment="1">
      <alignment horizontal="right" vertical="top" wrapText="1"/>
    </xf>
    <xf numFmtId="49" fontId="79" fillId="12" borderId="27" xfId="0" applyNumberFormat="1" applyFont="1" applyFill="1" applyBorder="1" applyAlignment="1">
      <alignment horizontal="right" vertical="top" wrapText="1"/>
    </xf>
    <xf numFmtId="49" fontId="79" fillId="12" borderId="29" xfId="0" applyNumberFormat="1" applyFont="1" applyFill="1" applyBorder="1" applyAlignment="1">
      <alignment horizontal="right" vertical="top" wrapText="1"/>
    </xf>
    <xf numFmtId="49" fontId="79" fillId="12" borderId="0" xfId="0" applyNumberFormat="1" applyFont="1" applyFill="1" applyBorder="1" applyAlignment="1">
      <alignment horizontal="right" vertical="top" wrapText="1"/>
    </xf>
    <xf numFmtId="49" fontId="79" fillId="12" borderId="0" xfId="0" applyNumberFormat="1" applyFont="1" applyFill="1" applyAlignment="1">
      <alignment horizontal="right" vertical="top" wrapText="1"/>
    </xf>
    <xf numFmtId="49" fontId="80" fillId="12" borderId="0" xfId="0" applyNumberFormat="1" applyFont="1" applyFill="1" applyAlignment="1">
      <alignment horizontal="right" vertical="top" wrapText="1"/>
    </xf>
    <xf numFmtId="49" fontId="59" fillId="13" borderId="20" xfId="0" applyNumberFormat="1" applyFont="1" applyFill="1" applyBorder="1" applyAlignment="1">
      <alignment horizontal="left" vertical="top" wrapText="1"/>
    </xf>
    <xf numFmtId="178" fontId="59" fillId="13" borderId="20" xfId="0" applyNumberFormat="1" applyFont="1" applyFill="1" applyBorder="1" applyAlignment="1">
      <alignment horizontal="right" vertical="top"/>
    </xf>
    <xf numFmtId="178" fontId="59" fillId="13" borderId="20" xfId="0" applyNumberFormat="1" applyFont="1" applyFill="1" applyBorder="1" applyAlignment="1">
      <alignment horizontal="right" vertical="top"/>
    </xf>
    <xf numFmtId="49" fontId="59" fillId="12" borderId="20" xfId="0" applyNumberFormat="1" applyFont="1" applyFill="1" applyBorder="1" applyAlignment="1">
      <alignment horizontal="right" vertical="top" wrapText="1"/>
    </xf>
    <xf numFmtId="49" fontId="59" fillId="12" borderId="20" xfId="0" applyNumberFormat="1" applyFont="1" applyFill="1" applyBorder="1" applyAlignment="1">
      <alignment horizontal="left" vertical="top" wrapText="1"/>
    </xf>
    <xf numFmtId="178" fontId="59" fillId="12" borderId="20" xfId="0" applyNumberFormat="1" applyFont="1" applyFill="1" applyBorder="1" applyAlignment="1">
      <alignment horizontal="right" vertical="top"/>
    </xf>
    <xf numFmtId="178" fontId="59" fillId="12" borderId="20" xfId="0" applyNumberFormat="1" applyFont="1" applyFill="1" applyBorder="1" applyAlignment="1">
      <alignment horizontal="right" vertical="top"/>
    </xf>
    <xf numFmtId="49" fontId="60" fillId="0" borderId="0" xfId="0" applyNumberFormat="1" applyFont="1" applyAlignment="1">
      <alignment horizontal="left" vertical="top" wrapText="1"/>
    </xf>
    <xf numFmtId="178" fontId="60" fillId="0" borderId="19" xfId="0" applyNumberFormat="1" applyFont="1" applyBorder="1" applyAlignment="1">
      <alignment horizontal="right" vertical="top"/>
    </xf>
    <xf numFmtId="178" fontId="60" fillId="0" borderId="0" xfId="0" applyNumberFormat="1" applyFont="1" applyAlignment="1">
      <alignment horizontal="right" vertical="top"/>
    </xf>
    <xf numFmtId="178" fontId="60" fillId="0" borderId="0" xfId="0" applyNumberFormat="1" applyFont="1" applyAlignment="1">
      <alignment horizontal="right" vertical="top"/>
    </xf>
    <xf numFmtId="178" fontId="36" fillId="0" borderId="0" xfId="0" applyNumberFormat="1" applyFont="1" applyAlignment="1">
      <alignment horizontal="right" vertical="top"/>
    </xf>
    <xf numFmtId="178" fontId="60" fillId="0" borderId="18" xfId="0" applyNumberFormat="1" applyFont="1" applyBorder="1" applyAlignment="1">
      <alignment horizontal="right" vertical="top"/>
    </xf>
    <xf numFmtId="178" fontId="36" fillId="0" borderId="0" xfId="0" applyNumberFormat="1" applyFont="1" applyAlignment="1">
      <alignment horizontal="right" vertical="top"/>
    </xf>
    <xf numFmtId="49" fontId="62" fillId="0" borderId="18" xfId="0" applyNumberFormat="1" applyFont="1" applyBorder="1" applyAlignment="1">
      <alignment horizontal="center" vertical="top" wrapText="1"/>
    </xf>
    <xf numFmtId="49" fontId="81" fillId="0" borderId="18" xfId="0" applyNumberFormat="1" applyFont="1" applyBorder="1" applyAlignment="1">
      <alignment horizontal="right" vertical="top"/>
    </xf>
    <xf numFmtId="49" fontId="82" fillId="0" borderId="18" xfId="0" applyNumberFormat="1" applyFont="1" applyBorder="1" applyAlignment="1">
      <alignment horizontal="right" vertical="top"/>
    </xf>
    <xf numFmtId="49" fontId="60" fillId="0" borderId="0" xfId="0" applyNumberFormat="1" applyFont="1" applyAlignment="1">
      <alignment horizontal="left" vertical="center"/>
    </xf>
    <xf numFmtId="49" fontId="61" fillId="0" borderId="0" xfId="0" applyNumberFormat="1" applyFont="1" applyAlignment="1">
      <alignment horizontal="left" vertical="top"/>
    </xf>
    <xf numFmtId="49" fontId="60" fillId="0" borderId="0" xfId="0" applyNumberFormat="1" applyFont="1" applyAlignment="1">
      <alignment horizontal="left" vertical="top"/>
    </xf>
    <xf numFmtId="49" fontId="60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49" fontId="60" fillId="0" borderId="0" xfId="0" applyNumberFormat="1" applyFont="1" applyBorder="1" applyAlignment="1">
      <alignment horizontal="left" vertical="top"/>
    </xf>
    <xf numFmtId="49" fontId="61" fillId="0" borderId="0" xfId="0" applyNumberFormat="1" applyFont="1" applyBorder="1" applyAlignment="1">
      <alignment horizontal="left" vertical="top"/>
    </xf>
    <xf numFmtId="49" fontId="65" fillId="0" borderId="18" xfId="0" applyNumberFormat="1" applyFont="1" applyBorder="1" applyAlignment="1">
      <alignment horizontal="left" vertical="top" wrapText="1"/>
    </xf>
    <xf numFmtId="49" fontId="68" fillId="0" borderId="18" xfId="0" applyNumberFormat="1" applyFont="1" applyBorder="1" applyAlignment="1">
      <alignment horizontal="left" vertical="top" wrapText="1"/>
    </xf>
    <xf numFmtId="49" fontId="65" fillId="0" borderId="20" xfId="0" applyNumberFormat="1" applyFont="1" applyBorder="1" applyAlignment="1">
      <alignment horizontal="left" vertical="top" wrapText="1"/>
    </xf>
    <xf numFmtId="49" fontId="65" fillId="0" borderId="0" xfId="0" applyNumberFormat="1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4"/>
  <sheetViews>
    <sheetView zoomScale="85" zoomScaleNormal="85" workbookViewId="0" topLeftCell="A1">
      <pane xSplit="1" ySplit="3" topLeftCell="S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" sqref="B4"/>
    </sheetView>
  </sheetViews>
  <sheetFormatPr defaultColWidth="9.140625" defaultRowHeight="12.75"/>
  <cols>
    <col min="1" max="1" width="30.7109375" style="1" customWidth="1"/>
    <col min="2" max="2" width="8.7109375" style="47" customWidth="1"/>
    <col min="3" max="3" width="8.140625" style="51" customWidth="1"/>
    <col min="4" max="4" width="7.8515625" style="51" customWidth="1"/>
    <col min="5" max="7" width="7.8515625" style="52" customWidth="1"/>
    <col min="8" max="8" width="9.7109375" style="51" customWidth="1"/>
    <col min="9" max="9" width="26.421875" style="3" hidden="1" customWidth="1"/>
    <col min="10" max="10" width="13.8515625" style="7" customWidth="1"/>
    <col min="11" max="11" width="7.7109375" style="26" customWidth="1"/>
    <col min="12" max="12" width="15.57421875" style="3" customWidth="1"/>
    <col min="13" max="13" width="9.28125" style="5" customWidth="1"/>
    <col min="14" max="14" width="8.140625" style="5" customWidth="1"/>
    <col min="15" max="15" width="9.28125" style="5" customWidth="1"/>
    <col min="16" max="16" width="9.7109375" style="5" customWidth="1"/>
    <col min="17" max="17" width="8.7109375" style="5" customWidth="1"/>
    <col min="18" max="18" width="9.7109375" style="5" customWidth="1"/>
    <col min="19" max="19" width="9.28125" style="5" customWidth="1"/>
    <col min="20" max="20" width="28.7109375" style="2" hidden="1" customWidth="1"/>
    <col min="21" max="21" width="13.8515625" style="10" customWidth="1"/>
    <col min="22" max="22" width="10.421875" style="28" customWidth="1"/>
    <col min="23" max="23" width="9.140625" style="21" customWidth="1"/>
    <col min="24" max="24" width="10.7109375" style="21" bestFit="1" customWidth="1"/>
    <col min="25" max="25" width="13.8515625" style="126" bestFit="1" customWidth="1"/>
    <col min="26" max="26" width="12.8515625" style="126" bestFit="1" customWidth="1"/>
    <col min="27" max="27" width="15.7109375" style="126" customWidth="1"/>
    <col min="28" max="28" width="22.7109375" style="139" customWidth="1"/>
    <col min="29" max="29" width="13.8515625" style="126" bestFit="1" customWidth="1"/>
    <col min="30" max="30" width="12.7109375" style="126" bestFit="1" customWidth="1"/>
    <col min="31" max="31" width="13.8515625" style="126" bestFit="1" customWidth="1"/>
    <col min="32" max="32" width="13.421875" style="128" customWidth="1"/>
    <col min="33" max="16384" width="9.140625" style="21" customWidth="1"/>
  </cols>
  <sheetData>
    <row r="1" spans="1:28" ht="12.75">
      <c r="A1" s="78"/>
      <c r="B1" s="326" t="s">
        <v>1168</v>
      </c>
      <c r="C1" s="328"/>
      <c r="D1" s="328"/>
      <c r="E1" s="328"/>
      <c r="F1" s="328"/>
      <c r="G1" s="328"/>
      <c r="H1" s="328"/>
      <c r="I1" s="328"/>
      <c r="J1" s="328"/>
      <c r="K1" s="328"/>
      <c r="L1" s="88"/>
      <c r="M1" s="326" t="s">
        <v>1169</v>
      </c>
      <c r="N1" s="327"/>
      <c r="O1" s="327"/>
      <c r="P1" s="327"/>
      <c r="Q1" s="327"/>
      <c r="R1" s="327"/>
      <c r="S1" s="327"/>
      <c r="T1" s="327"/>
      <c r="U1" s="327"/>
      <c r="V1" s="327"/>
      <c r="AB1" s="127"/>
    </row>
    <row r="2" spans="1:32" ht="12.75" customHeight="1">
      <c r="A2" s="78"/>
      <c r="B2" s="331" t="s">
        <v>1146</v>
      </c>
      <c r="C2" s="332"/>
      <c r="D2" s="332"/>
      <c r="E2" s="332"/>
      <c r="F2" s="332"/>
      <c r="G2" s="332"/>
      <c r="H2" s="332"/>
      <c r="I2" s="68"/>
      <c r="J2" s="84" t="s">
        <v>1150</v>
      </c>
      <c r="K2" s="85">
        <f>12/12</f>
        <v>1</v>
      </c>
      <c r="L2" s="88"/>
      <c r="M2" s="331" t="s">
        <v>1146</v>
      </c>
      <c r="N2" s="332"/>
      <c r="O2" s="332"/>
      <c r="P2" s="332"/>
      <c r="Q2" s="332"/>
      <c r="R2" s="332"/>
      <c r="S2" s="332"/>
      <c r="T2" s="68"/>
      <c r="U2" s="84" t="s">
        <v>1150</v>
      </c>
      <c r="V2" s="85">
        <f>12/12</f>
        <v>1</v>
      </c>
      <c r="Y2" s="321" t="s">
        <v>1336</v>
      </c>
      <c r="Z2" s="321"/>
      <c r="AA2" s="321"/>
      <c r="AB2" s="127"/>
      <c r="AC2" s="321" t="s">
        <v>1337</v>
      </c>
      <c r="AD2" s="321"/>
      <c r="AE2" s="321"/>
      <c r="AF2" s="322" t="s">
        <v>1338</v>
      </c>
    </row>
    <row r="3" spans="1:32" s="14" customFormat="1" ht="34.5" customHeight="1">
      <c r="A3" s="7"/>
      <c r="B3" s="55" t="s">
        <v>1263</v>
      </c>
      <c r="C3" s="35" t="s">
        <v>1222</v>
      </c>
      <c r="D3" s="87" t="s">
        <v>1289</v>
      </c>
      <c r="E3" s="87" t="s">
        <v>1147</v>
      </c>
      <c r="F3" s="87" t="s">
        <v>1148</v>
      </c>
      <c r="G3" s="87" t="s">
        <v>1149</v>
      </c>
      <c r="H3" s="83" t="s">
        <v>1153</v>
      </c>
      <c r="I3" s="36"/>
      <c r="J3" s="324" t="s">
        <v>1145</v>
      </c>
      <c r="K3" s="325"/>
      <c r="L3" s="7"/>
      <c r="M3" s="55" t="s">
        <v>1263</v>
      </c>
      <c r="N3" s="35" t="s">
        <v>1222</v>
      </c>
      <c r="O3" s="35" t="s">
        <v>1289</v>
      </c>
      <c r="P3" s="35" t="s">
        <v>1147</v>
      </c>
      <c r="Q3" s="87" t="s">
        <v>1148</v>
      </c>
      <c r="R3" s="87" t="s">
        <v>1149</v>
      </c>
      <c r="S3" s="83" t="s">
        <v>1153</v>
      </c>
      <c r="T3" s="36"/>
      <c r="U3" s="324" t="s">
        <v>1145</v>
      </c>
      <c r="V3" s="325"/>
      <c r="Y3" s="130" t="s">
        <v>1339</v>
      </c>
      <c r="Z3" s="130" t="s">
        <v>1340</v>
      </c>
      <c r="AA3" s="130" t="s">
        <v>1341</v>
      </c>
      <c r="AB3" s="131"/>
      <c r="AC3" s="130" t="s">
        <v>1339</v>
      </c>
      <c r="AD3" s="130" t="s">
        <v>1340</v>
      </c>
      <c r="AE3" s="130" t="s">
        <v>1341</v>
      </c>
      <c r="AF3" s="323"/>
    </row>
    <row r="4" spans="1:32" s="93" customFormat="1" ht="12.75">
      <c r="A4" s="37" t="s">
        <v>1223</v>
      </c>
      <c r="B4" s="75"/>
      <c r="C4" s="52">
        <f>7/7*99/99*81</f>
        <v>81</v>
      </c>
      <c r="D4" s="52">
        <v>150</v>
      </c>
      <c r="E4" s="52"/>
      <c r="F4" s="52"/>
      <c r="G4" s="52"/>
      <c r="H4" s="52">
        <f>SUM(B4:G4)</f>
        <v>231</v>
      </c>
      <c r="I4" s="3"/>
      <c r="J4" s="7">
        <f>4/4*150000*0+6/6*230400</f>
        <v>230400</v>
      </c>
      <c r="K4" s="26">
        <f>J4/(H4*1000)</f>
        <v>0.9974025974025974</v>
      </c>
      <c r="L4" s="7"/>
      <c r="M4" s="8"/>
      <c r="N4" s="8"/>
      <c r="O4" s="8"/>
      <c r="P4" s="8"/>
      <c r="Q4" s="8"/>
      <c r="R4" s="8"/>
      <c r="S4" s="46">
        <f>SUM(M4:R4)</f>
        <v>0</v>
      </c>
      <c r="T4" s="53" t="s">
        <v>1170</v>
      </c>
      <c r="U4" s="22"/>
      <c r="V4" s="26"/>
      <c r="Y4" s="130">
        <f>J4</f>
        <v>230400</v>
      </c>
      <c r="Z4" s="130"/>
      <c r="AA4" s="132">
        <f>Y4+Z4</f>
        <v>230400</v>
      </c>
      <c r="AB4" s="133"/>
      <c r="AC4" s="130">
        <f>U4</f>
        <v>0</v>
      </c>
      <c r="AD4" s="130"/>
      <c r="AE4" s="132">
        <f>AC4+AD4</f>
        <v>0</v>
      </c>
      <c r="AF4" s="129">
        <f>AE4-AA4</f>
        <v>-230400</v>
      </c>
    </row>
    <row r="5" spans="1:32" s="93" customFormat="1" ht="12.75">
      <c r="A5" s="37" t="s">
        <v>1305</v>
      </c>
      <c r="B5" s="94"/>
      <c r="C5" s="23"/>
      <c r="D5" s="23"/>
      <c r="E5" s="23"/>
      <c r="F5" s="23"/>
      <c r="G5" s="95">
        <f>9+20</f>
        <v>29</v>
      </c>
      <c r="H5" s="105">
        <f>SUM(B5:G5)</f>
        <v>29</v>
      </c>
      <c r="I5" s="3"/>
      <c r="J5" s="7">
        <f>10/10*19560*0+12/12*28379</f>
        <v>28379</v>
      </c>
      <c r="K5" s="26">
        <f>J5/(H5*1000)</f>
        <v>0.9785862068965517</v>
      </c>
      <c r="L5" s="7"/>
      <c r="M5" s="96"/>
      <c r="N5" s="23"/>
      <c r="O5" s="23"/>
      <c r="P5" s="23"/>
      <c r="Q5" s="23"/>
      <c r="R5" s="23"/>
      <c r="S5" s="23"/>
      <c r="T5" s="97"/>
      <c r="U5" s="33"/>
      <c r="V5" s="26"/>
      <c r="Y5" s="130">
        <f>J5</f>
        <v>28379</v>
      </c>
      <c r="Z5" s="130"/>
      <c r="AA5" s="132">
        <f>Y5+Z5</f>
        <v>28379</v>
      </c>
      <c r="AB5" s="133"/>
      <c r="AC5" s="130">
        <f>U5</f>
        <v>0</v>
      </c>
      <c r="AD5" s="130"/>
      <c r="AE5" s="132">
        <f>AC5+AD5</f>
        <v>0</v>
      </c>
      <c r="AF5" s="129">
        <f>AE5-AA5</f>
        <v>-28379</v>
      </c>
    </row>
    <row r="6" spans="1:32" s="93" customFormat="1" ht="12.75">
      <c r="A6" s="98" t="s">
        <v>1224</v>
      </c>
      <c r="B6" s="48">
        <f aca="true" t="shared" si="0" ref="B6:H6">SUM(B4:B5)</f>
        <v>0</v>
      </c>
      <c r="C6" s="45">
        <f t="shared" si="0"/>
        <v>81</v>
      </c>
      <c r="D6" s="45">
        <f t="shared" si="0"/>
        <v>150</v>
      </c>
      <c r="E6" s="45">
        <f t="shared" si="0"/>
        <v>0</v>
      </c>
      <c r="F6" s="45">
        <f t="shared" si="0"/>
        <v>0</v>
      </c>
      <c r="G6" s="45">
        <f t="shared" si="0"/>
        <v>29</v>
      </c>
      <c r="H6" s="45">
        <f t="shared" si="0"/>
        <v>260</v>
      </c>
      <c r="I6" s="3"/>
      <c r="J6" s="40">
        <f>SUM(J4:J5)</f>
        <v>258779</v>
      </c>
      <c r="K6" s="26">
        <f>J6/(H6*1000)</f>
        <v>0.9953038461538462</v>
      </c>
      <c r="L6" s="7"/>
      <c r="M6" s="45">
        <f aca="true" t="shared" si="1" ref="M6:S6">SUM(M4:M5)</f>
        <v>0</v>
      </c>
      <c r="N6" s="45">
        <f t="shared" si="1"/>
        <v>0</v>
      </c>
      <c r="O6" s="45">
        <f t="shared" si="1"/>
        <v>0</v>
      </c>
      <c r="P6" s="45">
        <f t="shared" si="1"/>
        <v>0</v>
      </c>
      <c r="Q6" s="45">
        <f t="shared" si="1"/>
        <v>0</v>
      </c>
      <c r="R6" s="45">
        <f t="shared" si="1"/>
        <v>0</v>
      </c>
      <c r="S6" s="45">
        <f t="shared" si="1"/>
        <v>0</v>
      </c>
      <c r="T6" s="3"/>
      <c r="U6" s="40">
        <f>SUM(U4:U5)</f>
        <v>0</v>
      </c>
      <c r="V6" s="26"/>
      <c r="Y6" s="130"/>
      <c r="Z6" s="130"/>
      <c r="AA6" s="130"/>
      <c r="AB6" s="133"/>
      <c r="AC6" s="130"/>
      <c r="AD6" s="130"/>
      <c r="AE6" s="130"/>
      <c r="AF6" s="134"/>
    </row>
    <row r="7" spans="1:32" s="106" customFormat="1" ht="12.75">
      <c r="A7" s="37" t="s">
        <v>1156</v>
      </c>
      <c r="B7" s="75">
        <v>100</v>
      </c>
      <c r="C7" s="52">
        <f>12/12*98/98*(7+76)</f>
        <v>83</v>
      </c>
      <c r="D7" s="52"/>
      <c r="E7" s="52"/>
      <c r="F7" s="52"/>
      <c r="G7" s="52">
        <f>-101-82</f>
        <v>-183</v>
      </c>
      <c r="H7" s="52">
        <f aca="true" t="shared" si="2" ref="H7:H16">SUM(B7:G7)</f>
        <v>0</v>
      </c>
      <c r="I7" s="3"/>
      <c r="J7" s="7">
        <f>6/6*17974*0+7/7*22059*0+10/10*51087*0*3112/3112</f>
        <v>0</v>
      </c>
      <c r="K7" s="26"/>
      <c r="L7" s="7"/>
      <c r="M7" s="8"/>
      <c r="N7" s="8"/>
      <c r="O7" s="8"/>
      <c r="P7" s="8"/>
      <c r="Q7" s="8"/>
      <c r="R7" s="8"/>
      <c r="S7" s="46">
        <f aca="true" t="shared" si="3" ref="S7:S16">SUM(M7:R7)</f>
        <v>0</v>
      </c>
      <c r="T7" s="53" t="s">
        <v>1170</v>
      </c>
      <c r="U7" s="22"/>
      <c r="V7" s="26"/>
      <c r="Y7" s="130">
        <f>J7</f>
        <v>0</v>
      </c>
      <c r="Z7" s="130"/>
      <c r="AA7" s="132">
        <f>Y7+Z7</f>
        <v>0</v>
      </c>
      <c r="AB7" s="133"/>
      <c r="AC7" s="130">
        <f>U7</f>
        <v>0</v>
      </c>
      <c r="AD7" s="130"/>
      <c r="AE7" s="132">
        <f>AC7+AD7</f>
        <v>0</v>
      </c>
      <c r="AF7" s="129">
        <f>AE7-AA7</f>
        <v>0</v>
      </c>
    </row>
    <row r="8" spans="1:32" s="106" customFormat="1" ht="12.75">
      <c r="A8" s="37" t="s">
        <v>1215</v>
      </c>
      <c r="B8" s="75"/>
      <c r="C8" s="52"/>
      <c r="D8" s="52"/>
      <c r="E8" s="52"/>
      <c r="F8" s="52">
        <v>256</v>
      </c>
      <c r="G8" s="52">
        <f>7+55+(18)+165-83</f>
        <v>162</v>
      </c>
      <c r="H8" s="52">
        <f t="shared" si="2"/>
        <v>418</v>
      </c>
      <c r="I8" s="3"/>
      <c r="J8" s="7">
        <f>(5/5*10000+6/6*10000+7/7*77102)*0+8/8*335902</f>
        <v>335902</v>
      </c>
      <c r="K8" s="26"/>
      <c r="L8" s="7"/>
      <c r="M8" s="8"/>
      <c r="N8" s="8"/>
      <c r="O8" s="8"/>
      <c r="P8" s="8"/>
      <c r="Q8" s="8"/>
      <c r="R8" s="8"/>
      <c r="S8" s="46">
        <f t="shared" si="3"/>
        <v>0</v>
      </c>
      <c r="T8" s="53" t="s">
        <v>1170</v>
      </c>
      <c r="U8" s="22"/>
      <c r="V8" s="26"/>
      <c r="Y8" s="130">
        <f>J8</f>
        <v>335902</v>
      </c>
      <c r="Z8" s="130"/>
      <c r="AA8" s="132">
        <f>Y8+Z8</f>
        <v>335902</v>
      </c>
      <c r="AB8" s="133"/>
      <c r="AC8" s="130">
        <f>U8</f>
        <v>0</v>
      </c>
      <c r="AD8" s="130"/>
      <c r="AE8" s="132">
        <f>AC8+AD8</f>
        <v>0</v>
      </c>
      <c r="AF8" s="129">
        <f>AE8-AA8</f>
        <v>-335902</v>
      </c>
    </row>
    <row r="9" spans="1:32" s="106" customFormat="1" ht="12.75" hidden="1">
      <c r="A9" s="37" t="s">
        <v>1229</v>
      </c>
      <c r="B9" s="75"/>
      <c r="C9" s="52"/>
      <c r="D9" s="52"/>
      <c r="E9" s="52"/>
      <c r="F9" s="52"/>
      <c r="G9" s="52"/>
      <c r="H9" s="52">
        <f t="shared" si="2"/>
        <v>0</v>
      </c>
      <c r="I9" s="3"/>
      <c r="J9" s="7"/>
      <c r="K9" s="26"/>
      <c r="L9" s="7"/>
      <c r="M9" s="8"/>
      <c r="N9" s="8"/>
      <c r="O9" s="8"/>
      <c r="P9" s="8"/>
      <c r="Q9" s="8"/>
      <c r="R9" s="8"/>
      <c r="S9" s="46">
        <f t="shared" si="3"/>
        <v>0</v>
      </c>
      <c r="T9" s="53" t="s">
        <v>1170</v>
      </c>
      <c r="U9" s="22"/>
      <c r="V9" s="26"/>
      <c r="Y9" s="126"/>
      <c r="Z9" s="126"/>
      <c r="AA9" s="126"/>
      <c r="AB9" s="133"/>
      <c r="AC9" s="126"/>
      <c r="AD9" s="126"/>
      <c r="AE9" s="126"/>
      <c r="AF9" s="128"/>
    </row>
    <row r="10" spans="1:32" s="106" customFormat="1" ht="12.75" hidden="1">
      <c r="A10" s="37" t="s">
        <v>1216</v>
      </c>
      <c r="B10" s="75"/>
      <c r="C10" s="52"/>
      <c r="D10" s="52"/>
      <c r="E10" s="52"/>
      <c r="F10" s="52"/>
      <c r="G10" s="52"/>
      <c r="H10" s="52">
        <f t="shared" si="2"/>
        <v>0</v>
      </c>
      <c r="I10" s="3"/>
      <c r="J10" s="7"/>
      <c r="K10" s="26"/>
      <c r="L10" s="7"/>
      <c r="M10" s="8"/>
      <c r="N10" s="8"/>
      <c r="O10" s="8"/>
      <c r="P10" s="8"/>
      <c r="Q10" s="8"/>
      <c r="R10" s="8"/>
      <c r="S10" s="46">
        <f t="shared" si="3"/>
        <v>0</v>
      </c>
      <c r="T10" s="53" t="s">
        <v>1170</v>
      </c>
      <c r="U10" s="22"/>
      <c r="V10" s="26"/>
      <c r="Y10" s="126"/>
      <c r="Z10" s="126"/>
      <c r="AA10" s="126"/>
      <c r="AB10" s="133"/>
      <c r="AC10" s="126"/>
      <c r="AD10" s="126"/>
      <c r="AE10" s="126"/>
      <c r="AF10" s="128"/>
    </row>
    <row r="11" spans="1:32" s="106" customFormat="1" ht="12.75">
      <c r="A11" s="99" t="s">
        <v>1271</v>
      </c>
      <c r="B11" s="52">
        <f>2321/2321*50+3722/3722*500</f>
        <v>550</v>
      </c>
      <c r="C11" s="52"/>
      <c r="D11" s="52"/>
      <c r="E11" s="52">
        <f>3722/3722*-500</f>
        <v>-500</v>
      </c>
      <c r="F11" s="52">
        <v>62</v>
      </c>
      <c r="G11" s="52"/>
      <c r="H11" s="52">
        <f t="shared" si="2"/>
        <v>112</v>
      </c>
      <c r="I11" s="3"/>
      <c r="J11" s="7">
        <f>2/2*4776.6*0+8/8*14341.2*0+9/9*76081.2</f>
        <v>76081.2</v>
      </c>
      <c r="K11" s="26">
        <f>J11/(H11*1000)</f>
        <v>0.6792964285714286</v>
      </c>
      <c r="L11" s="7"/>
      <c r="M11" s="8"/>
      <c r="N11" s="8"/>
      <c r="O11" s="8"/>
      <c r="P11" s="8"/>
      <c r="Q11" s="8"/>
      <c r="R11" s="8"/>
      <c r="S11" s="46">
        <f t="shared" si="3"/>
        <v>0</v>
      </c>
      <c r="T11" s="53" t="s">
        <v>1170</v>
      </c>
      <c r="U11" s="22"/>
      <c r="V11" s="26"/>
      <c r="Y11" s="130">
        <f>J11</f>
        <v>76081.2</v>
      </c>
      <c r="Z11" s="130"/>
      <c r="AA11" s="132">
        <f>Y11+Z11</f>
        <v>76081.2</v>
      </c>
      <c r="AB11" s="133"/>
      <c r="AC11" s="130">
        <f>U11</f>
        <v>0</v>
      </c>
      <c r="AD11" s="130"/>
      <c r="AE11" s="132">
        <f>AC11+AD11</f>
        <v>0</v>
      </c>
      <c r="AF11" s="129">
        <f>AE11-AA11</f>
        <v>-76081.2</v>
      </c>
    </row>
    <row r="12" spans="1:32" s="106" customFormat="1" ht="12.75">
      <c r="A12" s="99" t="s">
        <v>1257</v>
      </c>
      <c r="B12" s="75"/>
      <c r="C12" s="52"/>
      <c r="D12" s="52"/>
      <c r="E12" s="52"/>
      <c r="F12" s="52"/>
      <c r="G12" s="52">
        <v>109</v>
      </c>
      <c r="H12" s="52">
        <f>SUM(B12:G12)</f>
        <v>109</v>
      </c>
      <c r="I12" s="3"/>
      <c r="J12" s="7">
        <f>12/12*108513</f>
        <v>108513</v>
      </c>
      <c r="K12" s="26">
        <f>J12/(H12*1000)</f>
        <v>0.9955321100917431</v>
      </c>
      <c r="L12" s="7"/>
      <c r="M12" s="8"/>
      <c r="N12" s="8"/>
      <c r="O12" s="8"/>
      <c r="P12" s="8"/>
      <c r="Q12" s="8"/>
      <c r="R12" s="8"/>
      <c r="S12" s="46"/>
      <c r="T12" s="53"/>
      <c r="U12" s="22"/>
      <c r="V12" s="26"/>
      <c r="Y12" s="147">
        <f>J12</f>
        <v>108513</v>
      </c>
      <c r="Z12" s="126"/>
      <c r="AA12" s="162">
        <f>Y12+Z12</f>
        <v>108513</v>
      </c>
      <c r="AB12" s="133"/>
      <c r="AC12" s="126"/>
      <c r="AD12" s="126"/>
      <c r="AE12" s="126"/>
      <c r="AF12" s="162">
        <f>AE12-AA12</f>
        <v>-108513</v>
      </c>
    </row>
    <row r="13" spans="1:32" s="106" customFormat="1" ht="12.75" hidden="1">
      <c r="A13" s="37" t="s">
        <v>1233</v>
      </c>
      <c r="B13" s="75"/>
      <c r="C13" s="52"/>
      <c r="D13" s="52"/>
      <c r="E13" s="52"/>
      <c r="F13" s="52"/>
      <c r="G13" s="52"/>
      <c r="H13" s="52">
        <f>SUM(B13:G13)</f>
        <v>0</v>
      </c>
      <c r="I13" s="3"/>
      <c r="J13" s="7"/>
      <c r="K13" s="26"/>
      <c r="L13" s="7"/>
      <c r="M13" s="8"/>
      <c r="N13" s="8"/>
      <c r="O13" s="8"/>
      <c r="P13" s="8"/>
      <c r="Q13" s="8"/>
      <c r="R13" s="8"/>
      <c r="S13" s="46">
        <f t="shared" si="3"/>
        <v>0</v>
      </c>
      <c r="T13" s="53"/>
      <c r="U13" s="22"/>
      <c r="V13" s="26"/>
      <c r="Y13" s="163"/>
      <c r="Z13" s="126"/>
      <c r="AA13" s="126"/>
      <c r="AB13" s="133"/>
      <c r="AC13" s="126"/>
      <c r="AD13" s="126"/>
      <c r="AE13" s="126"/>
      <c r="AF13" s="128"/>
    </row>
    <row r="14" spans="1:32" s="106" customFormat="1" ht="12.75" hidden="1">
      <c r="A14" s="37" t="s">
        <v>1234</v>
      </c>
      <c r="B14" s="75"/>
      <c r="C14" s="52"/>
      <c r="D14" s="52"/>
      <c r="E14" s="52"/>
      <c r="F14" s="52"/>
      <c r="G14" s="52"/>
      <c r="H14" s="52">
        <f>SUM(B14:G14)</f>
        <v>0</v>
      </c>
      <c r="I14" s="3"/>
      <c r="J14" s="7"/>
      <c r="K14" s="26"/>
      <c r="L14" s="7"/>
      <c r="M14" s="8"/>
      <c r="N14" s="8"/>
      <c r="O14" s="8"/>
      <c r="P14" s="8"/>
      <c r="Q14" s="8"/>
      <c r="R14" s="8"/>
      <c r="S14" s="46">
        <f t="shared" si="3"/>
        <v>0</v>
      </c>
      <c r="T14" s="53"/>
      <c r="U14" s="22"/>
      <c r="V14" s="26"/>
      <c r="Y14" s="163"/>
      <c r="Z14" s="126"/>
      <c r="AA14" s="126"/>
      <c r="AB14" s="133"/>
      <c r="AC14" s="126"/>
      <c r="AD14" s="126"/>
      <c r="AE14" s="126"/>
      <c r="AF14" s="128"/>
    </row>
    <row r="15" spans="1:32" s="106" customFormat="1" ht="12.75">
      <c r="A15" s="37" t="s">
        <v>1309</v>
      </c>
      <c r="B15" s="75"/>
      <c r="C15" s="52"/>
      <c r="D15" s="52"/>
      <c r="E15" s="52"/>
      <c r="F15" s="52"/>
      <c r="G15" s="52">
        <v>25</v>
      </c>
      <c r="H15" s="52">
        <f t="shared" si="2"/>
        <v>25</v>
      </c>
      <c r="I15" s="3"/>
      <c r="J15" s="7">
        <f>12/12*25200</f>
        <v>25200</v>
      </c>
      <c r="K15" s="26">
        <f>J15/(H15*1000)</f>
        <v>1.008</v>
      </c>
      <c r="L15" s="7"/>
      <c r="M15" s="8"/>
      <c r="N15" s="8"/>
      <c r="O15" s="8"/>
      <c r="P15" s="8"/>
      <c r="Q15" s="8"/>
      <c r="R15" s="8"/>
      <c r="S15" s="46">
        <f t="shared" si="3"/>
        <v>0</v>
      </c>
      <c r="T15" s="53" t="s">
        <v>1170</v>
      </c>
      <c r="U15" s="22"/>
      <c r="V15" s="26"/>
      <c r="Y15" s="147">
        <f>J15</f>
        <v>25200</v>
      </c>
      <c r="Z15" s="126"/>
      <c r="AA15" s="162">
        <f>Y15+Z15</f>
        <v>25200</v>
      </c>
      <c r="AB15" s="133"/>
      <c r="AC15" s="126"/>
      <c r="AD15" s="126"/>
      <c r="AE15" s="126"/>
      <c r="AF15" s="162">
        <f>AE15-AA15</f>
        <v>-25200</v>
      </c>
    </row>
    <row r="16" spans="1:32" s="106" customFormat="1" ht="12.75">
      <c r="A16" s="37" t="s">
        <v>1157</v>
      </c>
      <c r="B16" s="75">
        <v>100</v>
      </c>
      <c r="C16" s="52"/>
      <c r="D16" s="52">
        <v>233</v>
      </c>
      <c r="E16" s="52"/>
      <c r="F16" s="52"/>
      <c r="G16" s="52"/>
      <c r="H16" s="52">
        <f t="shared" si="2"/>
        <v>333</v>
      </c>
      <c r="I16" s="3"/>
      <c r="J16" s="7">
        <f>4/4*198564*0+5/5*239166.5</f>
        <v>239166.5</v>
      </c>
      <c r="K16" s="26">
        <f>J16/(H16*1000)</f>
        <v>0.7182177177177177</v>
      </c>
      <c r="L16" s="7"/>
      <c r="M16" s="8"/>
      <c r="N16" s="8"/>
      <c r="O16" s="8"/>
      <c r="P16" s="8"/>
      <c r="Q16" s="8"/>
      <c r="R16" s="8"/>
      <c r="S16" s="46">
        <f t="shared" si="3"/>
        <v>0</v>
      </c>
      <c r="T16" s="53" t="s">
        <v>1170</v>
      </c>
      <c r="U16" s="22"/>
      <c r="V16" s="26"/>
      <c r="Y16" s="130">
        <f>J16</f>
        <v>239166.5</v>
      </c>
      <c r="Z16" s="130"/>
      <c r="AA16" s="132">
        <f>Y16+Z16</f>
        <v>239166.5</v>
      </c>
      <c r="AB16" s="133"/>
      <c r="AC16" s="130">
        <f>U16</f>
        <v>0</v>
      </c>
      <c r="AD16" s="130"/>
      <c r="AE16" s="132">
        <f>AC16+AD16</f>
        <v>0</v>
      </c>
      <c r="AF16" s="129">
        <f>AE16-AA16</f>
        <v>-239166.5</v>
      </c>
    </row>
    <row r="17" spans="1:32" s="103" customFormat="1" ht="15" customHeight="1">
      <c r="A17" s="77" t="s">
        <v>1211</v>
      </c>
      <c r="B17" s="48">
        <f aca="true" t="shared" si="4" ref="B17:H17">SUM(B7:B16)</f>
        <v>750</v>
      </c>
      <c r="C17" s="48">
        <f t="shared" si="4"/>
        <v>83</v>
      </c>
      <c r="D17" s="48">
        <f t="shared" si="4"/>
        <v>233</v>
      </c>
      <c r="E17" s="48">
        <f t="shared" si="4"/>
        <v>-500</v>
      </c>
      <c r="F17" s="48">
        <f t="shared" si="4"/>
        <v>318</v>
      </c>
      <c r="G17" s="48">
        <f t="shared" si="4"/>
        <v>113</v>
      </c>
      <c r="H17" s="48">
        <f t="shared" si="4"/>
        <v>997</v>
      </c>
      <c r="I17" s="107"/>
      <c r="J17" s="40">
        <f>SUM(J7:J16)</f>
        <v>784862.7</v>
      </c>
      <c r="K17" s="27">
        <f>J17/(H17*1000)</f>
        <v>0.787224373119358</v>
      </c>
      <c r="L17" s="7"/>
      <c r="M17" s="13">
        <f aca="true" t="shared" si="5" ref="M17:S17">SUM(M7:M16)</f>
        <v>0</v>
      </c>
      <c r="N17" s="13">
        <f t="shared" si="5"/>
        <v>0</v>
      </c>
      <c r="O17" s="13">
        <f t="shared" si="5"/>
        <v>0</v>
      </c>
      <c r="P17" s="13">
        <f t="shared" si="5"/>
        <v>0</v>
      </c>
      <c r="Q17" s="13">
        <f t="shared" si="5"/>
        <v>0</v>
      </c>
      <c r="R17" s="13">
        <f t="shared" si="5"/>
        <v>0</v>
      </c>
      <c r="S17" s="13">
        <f t="shared" si="5"/>
        <v>0</v>
      </c>
      <c r="T17" s="56"/>
      <c r="U17" s="40">
        <f>SUM(U7:U16)</f>
        <v>0</v>
      </c>
      <c r="V17" s="27"/>
      <c r="Y17" s="126"/>
      <c r="Z17" s="126"/>
      <c r="AA17" s="126"/>
      <c r="AB17" s="133"/>
      <c r="AC17" s="126"/>
      <c r="AD17" s="126"/>
      <c r="AE17" s="126"/>
      <c r="AF17" s="128"/>
    </row>
    <row r="18" spans="1:32" s="106" customFormat="1" ht="12.75">
      <c r="A18" s="37" t="s">
        <v>1310</v>
      </c>
      <c r="B18" s="75">
        <v>200</v>
      </c>
      <c r="C18" s="52">
        <f>7/7*99/99*(35+311)</f>
        <v>346</v>
      </c>
      <c r="D18" s="52">
        <v>85</v>
      </c>
      <c r="E18" s="52"/>
      <c r="F18" s="52">
        <f>195</f>
        <v>195</v>
      </c>
      <c r="G18" s="52">
        <f>122+12/12*4</f>
        <v>126</v>
      </c>
      <c r="H18" s="52">
        <f>SUM(B18:G18)</f>
        <v>952</v>
      </c>
      <c r="I18" s="3"/>
      <c r="J18" s="7">
        <f>2/2*3113*0+3/3*4049*0+4/4*15225*0+274999.4*0+6/6*629658.4*0+7/7*630594.4*0+8/8*752387.6*0+9/9*827358.8*0+10/10*828294.8*0+12/12*952530.2</f>
        <v>952530.2</v>
      </c>
      <c r="K18" s="26">
        <f>J18/(H18*1000)</f>
        <v>1.0005569327731092</v>
      </c>
      <c r="L18" s="7"/>
      <c r="M18" s="8"/>
      <c r="N18" s="8"/>
      <c r="O18" s="8"/>
      <c r="P18" s="8"/>
      <c r="Q18" s="8"/>
      <c r="R18" s="8"/>
      <c r="S18" s="46">
        <f>SUM(M18:R18)</f>
        <v>0</v>
      </c>
      <c r="T18" s="53" t="s">
        <v>1170</v>
      </c>
      <c r="U18" s="22"/>
      <c r="V18" s="26"/>
      <c r="Y18" s="130">
        <f>J18</f>
        <v>952530.2</v>
      </c>
      <c r="Z18" s="130"/>
      <c r="AA18" s="132">
        <f>Y18+Z18</f>
        <v>952530.2</v>
      </c>
      <c r="AB18" s="133"/>
      <c r="AC18" s="130">
        <f>U18</f>
        <v>0</v>
      </c>
      <c r="AD18" s="130"/>
      <c r="AE18" s="132">
        <f>AC18+AD18</f>
        <v>0</v>
      </c>
      <c r="AF18" s="129">
        <f>AE18-AA18</f>
        <v>-952530.2</v>
      </c>
    </row>
    <row r="19" spans="1:32" s="106" customFormat="1" ht="22.5" customHeight="1" hidden="1">
      <c r="A19" s="37" t="s">
        <v>1254</v>
      </c>
      <c r="B19" s="75"/>
      <c r="C19" s="52"/>
      <c r="D19" s="52"/>
      <c r="E19" s="52"/>
      <c r="F19" s="52"/>
      <c r="G19" s="52"/>
      <c r="H19" s="52">
        <f>SUM(B19:G19)</f>
        <v>0</v>
      </c>
      <c r="I19" s="3"/>
      <c r="J19" s="7"/>
      <c r="K19" s="26"/>
      <c r="L19" s="7"/>
      <c r="M19" s="8"/>
      <c r="N19" s="8"/>
      <c r="O19" s="8"/>
      <c r="P19" s="8"/>
      <c r="Q19" s="8"/>
      <c r="R19" s="8"/>
      <c r="S19" s="46">
        <f>SUM(M19:R19)</f>
        <v>0</v>
      </c>
      <c r="T19" s="53" t="s">
        <v>1170</v>
      </c>
      <c r="U19" s="22"/>
      <c r="V19" s="26"/>
      <c r="Y19" s="126"/>
      <c r="Z19" s="126"/>
      <c r="AA19" s="126"/>
      <c r="AB19" s="133"/>
      <c r="AC19" s="126"/>
      <c r="AD19" s="126"/>
      <c r="AE19" s="126"/>
      <c r="AF19" s="128"/>
    </row>
    <row r="20" spans="1:32" s="106" customFormat="1" ht="12.75" hidden="1">
      <c r="A20" s="37">
        <v>2212</v>
      </c>
      <c r="B20" s="75"/>
      <c r="C20" s="52"/>
      <c r="D20" s="52"/>
      <c r="E20" s="52"/>
      <c r="F20" s="52"/>
      <c r="G20" s="52"/>
      <c r="H20" s="52">
        <f>SUM(B20:G20)</f>
        <v>0</v>
      </c>
      <c r="I20" s="3"/>
      <c r="J20" s="7"/>
      <c r="K20" s="26"/>
      <c r="L20" s="7"/>
      <c r="M20" s="8"/>
      <c r="N20" s="8"/>
      <c r="O20" s="8"/>
      <c r="P20" s="8"/>
      <c r="Q20" s="8"/>
      <c r="R20" s="8"/>
      <c r="S20" s="46">
        <f>SUM(M20:R20)</f>
        <v>0</v>
      </c>
      <c r="T20" s="53" t="s">
        <v>1170</v>
      </c>
      <c r="U20" s="22"/>
      <c r="V20" s="26"/>
      <c r="Y20" s="126"/>
      <c r="Z20" s="126"/>
      <c r="AA20" s="126"/>
      <c r="AB20" s="133"/>
      <c r="AC20" s="126"/>
      <c r="AD20" s="126"/>
      <c r="AE20" s="126"/>
      <c r="AF20" s="128"/>
    </row>
    <row r="21" spans="1:32" s="106" customFormat="1" ht="12.75">
      <c r="A21" s="37" t="s">
        <v>1217</v>
      </c>
      <c r="B21" s="75">
        <v>100</v>
      </c>
      <c r="C21" s="52"/>
      <c r="D21" s="52"/>
      <c r="E21" s="52"/>
      <c r="F21" s="52">
        <f>10+90</f>
        <v>100</v>
      </c>
      <c r="G21" s="52">
        <f>74+76+24+1165/1165*8+271/271*6</f>
        <v>188</v>
      </c>
      <c r="H21" s="52">
        <f>SUM(B21:G21)</f>
        <v>388</v>
      </c>
      <c r="I21" s="3"/>
      <c r="J21" s="7">
        <f>(2/2*1440*0+4/4*12775*0+33139*0+12/12*213398.68)+8233/8233*(7076*0+3/3*10614*0+4/4*14355*0+5/5*17961*0+6/6*21567*0+7/7*25173*0+8/8*28779*0+9/9*32385*0+10/10*35991*0+12/12*43203)+271112/271112*(6/6*813*0+7/7*1626*0+8/8*2439*0+9/9*3252*0+10/10*4065*0+12/12*5691)+1165/1165*8/8*8206</f>
        <v>270498.68</v>
      </c>
      <c r="K21" s="26">
        <f>J21/(H21*1000)</f>
        <v>0.6971615463917525</v>
      </c>
      <c r="L21" s="7"/>
      <c r="M21" s="8"/>
      <c r="N21" s="8"/>
      <c r="O21" s="8"/>
      <c r="P21" s="8"/>
      <c r="Q21" s="8"/>
      <c r="R21" s="8"/>
      <c r="S21" s="46">
        <f>SUM(M21:R21)</f>
        <v>0</v>
      </c>
      <c r="T21" s="53" t="s">
        <v>1170</v>
      </c>
      <c r="U21" s="22"/>
      <c r="V21" s="26"/>
      <c r="Y21" s="130">
        <f>J21</f>
        <v>270498.68</v>
      </c>
      <c r="Z21" s="130"/>
      <c r="AA21" s="132">
        <f>Y21+Z21</f>
        <v>270498.68</v>
      </c>
      <c r="AB21" s="133"/>
      <c r="AC21" s="130">
        <f>U21</f>
        <v>0</v>
      </c>
      <c r="AD21" s="130"/>
      <c r="AE21" s="132">
        <f>AC21+AD21</f>
        <v>0</v>
      </c>
      <c r="AF21" s="129">
        <f>AE21-AA21</f>
        <v>-270498.68</v>
      </c>
    </row>
    <row r="22" spans="1:32" s="106" customFormat="1" ht="12.75">
      <c r="A22" s="37" t="s">
        <v>1253</v>
      </c>
      <c r="B22" s="6"/>
      <c r="C22" s="6">
        <f>7/7*99/99*57</f>
        <v>57</v>
      </c>
      <c r="D22" s="6"/>
      <c r="E22" s="6"/>
      <c r="F22" s="6">
        <v>200</v>
      </c>
      <c r="G22" s="6">
        <f>20+70</f>
        <v>90</v>
      </c>
      <c r="H22" s="6">
        <f>SUM(B22:G22)</f>
        <v>347</v>
      </c>
      <c r="I22" s="3"/>
      <c r="J22" s="7">
        <f>3/3*600*0+4/4*1440*0+7/7*59136*0+8/8*354944*0+10/10*36566*0+12/12*450394</f>
        <v>450394</v>
      </c>
      <c r="K22" s="26">
        <f>J22/(H22*1000)</f>
        <v>1.2979654178674351</v>
      </c>
      <c r="L22" s="7"/>
      <c r="M22" s="8"/>
      <c r="N22" s="8"/>
      <c r="O22" s="8"/>
      <c r="P22" s="8"/>
      <c r="Q22" s="8"/>
      <c r="R22" s="8"/>
      <c r="S22" s="46">
        <f>SUM(M22:R22)</f>
        <v>0</v>
      </c>
      <c r="T22" s="53" t="s">
        <v>1170</v>
      </c>
      <c r="U22" s="22"/>
      <c r="V22" s="26"/>
      <c r="Y22" s="130">
        <f>J22</f>
        <v>450394</v>
      </c>
      <c r="Z22" s="130"/>
      <c r="AA22" s="132">
        <f>Y22+Z22</f>
        <v>450394</v>
      </c>
      <c r="AB22" s="133"/>
      <c r="AC22" s="130">
        <f>U22</f>
        <v>0</v>
      </c>
      <c r="AD22" s="130"/>
      <c r="AE22" s="132">
        <f>AC22+AD22</f>
        <v>0</v>
      </c>
      <c r="AF22" s="129">
        <f>AE22-AA22</f>
        <v>-450394</v>
      </c>
    </row>
    <row r="23" spans="1:32" s="103" customFormat="1" ht="15" customHeight="1">
      <c r="A23" s="77" t="s">
        <v>1212</v>
      </c>
      <c r="B23" s="48">
        <f aca="true" t="shared" si="6" ref="B23:H23">SUM(B18:B22)</f>
        <v>300</v>
      </c>
      <c r="C23" s="13">
        <f t="shared" si="6"/>
        <v>403</v>
      </c>
      <c r="D23" s="13">
        <f t="shared" si="6"/>
        <v>85</v>
      </c>
      <c r="E23" s="13">
        <f t="shared" si="6"/>
        <v>0</v>
      </c>
      <c r="F23" s="13">
        <f t="shared" si="6"/>
        <v>495</v>
      </c>
      <c r="G23" s="13">
        <f t="shared" si="6"/>
        <v>404</v>
      </c>
      <c r="H23" s="13">
        <f t="shared" si="6"/>
        <v>1687</v>
      </c>
      <c r="I23" s="56"/>
      <c r="J23" s="40">
        <f>SUM(J18:J22)</f>
        <v>1673422.88</v>
      </c>
      <c r="K23" s="27">
        <f aca="true" t="shared" si="7" ref="K23:K30">J23/(H23*1000)</f>
        <v>0.9919519146413751</v>
      </c>
      <c r="L23" s="7"/>
      <c r="M23" s="13">
        <f aca="true" t="shared" si="8" ref="M23:R23">SUM(M18:M22)</f>
        <v>0</v>
      </c>
      <c r="N23" s="13">
        <f t="shared" si="8"/>
        <v>0</v>
      </c>
      <c r="O23" s="13">
        <f t="shared" si="8"/>
        <v>0</v>
      </c>
      <c r="P23" s="13">
        <f t="shared" si="8"/>
        <v>0</v>
      </c>
      <c r="Q23" s="13">
        <f t="shared" si="8"/>
        <v>0</v>
      </c>
      <c r="R23" s="13">
        <f t="shared" si="8"/>
        <v>0</v>
      </c>
      <c r="S23" s="13">
        <f>SUM(S18:S22)</f>
        <v>0</v>
      </c>
      <c r="T23" s="56"/>
      <c r="U23" s="40">
        <f>SUM(U18:U22)</f>
        <v>0</v>
      </c>
      <c r="V23" s="27"/>
      <c r="Y23" s="126"/>
      <c r="Z23" s="126"/>
      <c r="AA23" s="126"/>
      <c r="AB23" s="133"/>
      <c r="AC23" s="126"/>
      <c r="AD23" s="126"/>
      <c r="AE23" s="126"/>
      <c r="AF23" s="128"/>
    </row>
    <row r="24" spans="1:32" s="106" customFormat="1" ht="12" customHeight="1">
      <c r="A24" s="37" t="s">
        <v>1158</v>
      </c>
      <c r="B24" s="8">
        <f>(1580*1.05+1-1660*0)*(1+0.015*5)+15.1*0-1700*0+5.5-1790*0+(2500+200)</f>
        <v>4490</v>
      </c>
      <c r="C24" s="46"/>
      <c r="D24" s="46">
        <f>(-2500+1000)</f>
        <v>-1500</v>
      </c>
      <c r="E24" s="46">
        <f>24+23-(2470*0+970+181)</f>
        <v>-1104</v>
      </c>
      <c r="F24" s="46"/>
      <c r="G24" s="46"/>
      <c r="H24" s="46">
        <f aca="true" t="shared" si="9" ref="H24:H33">SUM(B24:G24)</f>
        <v>1886</v>
      </c>
      <c r="I24" s="3"/>
      <c r="J24" s="7">
        <f>(4490000-(2500000+200000))/12*(1/1+2/2+3/3+(4/4+5/5+6/6)+(7/7+8/8+9/9)+(10/10+11/11+12/12))+2500*(2/2+5/5+8/8)+11/11*-7500</f>
        <v>1790000</v>
      </c>
      <c r="K24" s="26">
        <f t="shared" si="7"/>
        <v>0.9490986214209968</v>
      </c>
      <c r="L24" s="30" t="s">
        <v>1190</v>
      </c>
      <c r="M24" s="8">
        <f>((250+75)*0+2012/2012*(447*0+(300*0+(75+50+127+48)))*(1397*0+1375*0+2012/2012*1360.2)/1000+0.125*0-0.06)</f>
        <v>408</v>
      </c>
      <c r="N24" s="8"/>
      <c r="O24" s="8"/>
      <c r="P24" s="8"/>
      <c r="Q24" s="8"/>
      <c r="R24" s="8"/>
      <c r="S24" s="100">
        <f>SUM(M24:R24)</f>
        <v>408</v>
      </c>
      <c r="T24" s="53" t="s">
        <v>1170</v>
      </c>
      <c r="U24" s="108">
        <f>(2/2*2834000*0+3/3*4251000*0+5668000*0+5/5*7085000*0+6/6*8502000*0+7/7*9919000*0+8/8*11336000*0+9/9*12753000*0+10/10*14170000*0+12/12*17008000)/(16653*0+17008)*(447*0+408)+15.99247*0+3/3*23.988711*0+31.984948*0+5/5*39.9812*0+6/6*47.9774*0+7/7*(55.9737*0-944.0263)*0+8/8*63.9699*0+9/9*71.966134*0+10/10*79.962371*0</f>
        <v>408000</v>
      </c>
      <c r="V24" s="26">
        <f>U24/(S24*1000)</f>
        <v>1</v>
      </c>
      <c r="Y24" s="130">
        <f aca="true" t="shared" si="10" ref="Y24:Y31">J24</f>
        <v>1790000</v>
      </c>
      <c r="Z24" s="130"/>
      <c r="AA24" s="132">
        <f aca="true" t="shared" si="11" ref="AA24:AA31">Y24+Z24</f>
        <v>1790000</v>
      </c>
      <c r="AB24" s="135" t="s">
        <v>1190</v>
      </c>
      <c r="AC24" s="130">
        <f aca="true" t="shared" si="12" ref="AC24:AC31">U24</f>
        <v>408000</v>
      </c>
      <c r="AD24" s="130"/>
      <c r="AE24" s="132">
        <f aca="true" t="shared" si="13" ref="AE24:AE31">AC24+AD24</f>
        <v>408000</v>
      </c>
      <c r="AF24" s="129">
        <f aca="true" t="shared" si="14" ref="AF24:AF31">AE24-AA24</f>
        <v>-1382000</v>
      </c>
    </row>
    <row r="25" spans="1:32" s="106" customFormat="1" ht="12" customHeight="1">
      <c r="A25" s="101" t="s">
        <v>1264</v>
      </c>
      <c r="B25" s="75"/>
      <c r="C25" s="52"/>
      <c r="D25" s="52">
        <v>506</v>
      </c>
      <c r="E25" s="52"/>
      <c r="F25" s="52"/>
      <c r="G25" s="52"/>
      <c r="H25" s="58">
        <f t="shared" si="9"/>
        <v>506</v>
      </c>
      <c r="I25" s="3"/>
      <c r="J25" s="7">
        <f>2/2*270626.4*0+3/3*505615.4</f>
        <v>505615.4</v>
      </c>
      <c r="K25" s="26">
        <f t="shared" si="7"/>
        <v>0.9992399209486167</v>
      </c>
      <c r="L25" s="7"/>
      <c r="M25" s="8"/>
      <c r="N25" s="8"/>
      <c r="O25" s="8"/>
      <c r="P25" s="8"/>
      <c r="Q25" s="8"/>
      <c r="R25" s="8"/>
      <c r="S25" s="46">
        <f aca="true" t="shared" si="15" ref="S25:S33">SUM(M25:R25)</f>
        <v>0</v>
      </c>
      <c r="T25" s="53" t="s">
        <v>1170</v>
      </c>
      <c r="U25" s="108"/>
      <c r="V25" s="26"/>
      <c r="Y25" s="130">
        <f t="shared" si="10"/>
        <v>505615.4</v>
      </c>
      <c r="Z25" s="130"/>
      <c r="AA25" s="132">
        <f t="shared" si="11"/>
        <v>505615.4</v>
      </c>
      <c r="AB25" s="133"/>
      <c r="AC25" s="130">
        <f t="shared" si="12"/>
        <v>0</v>
      </c>
      <c r="AD25" s="130"/>
      <c r="AE25" s="132">
        <f t="shared" si="13"/>
        <v>0</v>
      </c>
      <c r="AF25" s="129">
        <f t="shared" si="14"/>
        <v>-505615.4</v>
      </c>
    </row>
    <row r="26" spans="1:32" s="106" customFormat="1" ht="12.75" customHeight="1">
      <c r="A26" s="102" t="s">
        <v>1290</v>
      </c>
      <c r="B26" s="75"/>
      <c r="C26" s="52">
        <f>7/7*99/99*824+93/93*60*0</f>
        <v>824</v>
      </c>
      <c r="D26" s="52"/>
      <c r="E26" s="52">
        <f>114</f>
        <v>114</v>
      </c>
      <c r="F26" s="52">
        <v>57</v>
      </c>
      <c r="G26" s="52">
        <f>12/12*60-884</f>
        <v>-824</v>
      </c>
      <c r="H26" s="52">
        <f t="shared" si="9"/>
        <v>171</v>
      </c>
      <c r="I26" s="3"/>
      <c r="J26" s="72">
        <f>3111/3111*4/4*8794+(4/4)*(2/2*30187.2*0+3/3*((54187.2*0+5/5*77685.7*0+9/9*134189.5))+11002012/11002012*(18000*0+4/4*114360*0+9/9*126960+12/12*-126960+16/16*121396)+10/10*60000)-J148</f>
        <v>264379.5</v>
      </c>
      <c r="K26" s="26"/>
      <c r="L26" s="7"/>
      <c r="M26" s="8"/>
      <c r="N26" s="8"/>
      <c r="O26" s="8"/>
      <c r="P26" s="8"/>
      <c r="Q26" s="8"/>
      <c r="R26" s="8"/>
      <c r="S26" s="46">
        <f t="shared" si="15"/>
        <v>0</v>
      </c>
      <c r="T26" s="53" t="s">
        <v>1170</v>
      </c>
      <c r="U26" s="108"/>
      <c r="V26" s="26"/>
      <c r="Y26" s="130">
        <f t="shared" si="10"/>
        <v>264379.5</v>
      </c>
      <c r="Z26" s="130"/>
      <c r="AA26" s="132">
        <f t="shared" si="11"/>
        <v>264379.5</v>
      </c>
      <c r="AB26" s="136"/>
      <c r="AC26" s="130">
        <f t="shared" si="12"/>
        <v>0</v>
      </c>
      <c r="AD26" s="130"/>
      <c r="AE26" s="132">
        <f t="shared" si="13"/>
        <v>0</v>
      </c>
      <c r="AF26" s="129">
        <f t="shared" si="14"/>
        <v>-264379.5</v>
      </c>
    </row>
    <row r="27" spans="1:32" s="106" customFormat="1" ht="12.75" customHeight="1">
      <c r="A27" s="37" t="s">
        <v>1267</v>
      </c>
      <c r="B27" s="8">
        <f>(3750*1.05+2.5-3940*0)*(1+0.015*5)+0.9*0-4000*0+4.5-4240*0</f>
        <v>4240</v>
      </c>
      <c r="C27" s="46"/>
      <c r="D27" s="46"/>
      <c r="E27" s="46"/>
      <c r="F27" s="46"/>
      <c r="G27" s="46">
        <f>12/12*70</f>
        <v>70</v>
      </c>
      <c r="H27" s="46">
        <f t="shared" si="9"/>
        <v>4310</v>
      </c>
      <c r="I27" s="3"/>
      <c r="J27" s="7">
        <f>4240000/12*(1/1+2/2+3/3+(4/4+5/5+6/6)+(7/7+8/8+9/9)+(10/10+11/11+12/12))+(60000+10000)</f>
        <v>4310000</v>
      </c>
      <c r="K27" s="26">
        <f t="shared" si="7"/>
        <v>1</v>
      </c>
      <c r="L27" s="30" t="s">
        <v>1190</v>
      </c>
      <c r="M27" s="8">
        <f>(537*0+2012/2012*(738*0+(617*0+619))*(1397*0+1375*0+2012/2012*1360.2)/1000-0.375*0-0.2434*0+0.0362)</f>
        <v>842</v>
      </c>
      <c r="N27" s="8"/>
      <c r="O27" s="8"/>
      <c r="P27" s="8"/>
      <c r="Q27" s="8"/>
      <c r="R27" s="8"/>
      <c r="S27" s="100">
        <f t="shared" si="15"/>
        <v>842</v>
      </c>
      <c r="T27" s="53" t="s">
        <v>1170</v>
      </c>
      <c r="U27" s="108">
        <f>(2/2*2834000*0+3/3*4251000*0+5668000*0+5/5*7085000*0+6/6*8502000*0+7/7*9919000*0+8/8*11336000*0+9/9*12753000*0+10/10*14170000*0+12/12*17008000)/(16653*0+17008)*(738*0+842)-300.3293*0+3/3*-450.493885*0+399.341486*0+5/5*(249.1769*0-750.8231)*0+6/6*(99.0122*0-900.9878)*0+7/7*-51.1524*0+8/8*-201.317*0+9/9*-351.481656*0+10/10*(498.3537*0-501.646284)*0</f>
        <v>842000</v>
      </c>
      <c r="V27" s="26">
        <f>U27/(S27*1000)</f>
        <v>1</v>
      </c>
      <c r="Y27" s="130">
        <f t="shared" si="10"/>
        <v>4310000</v>
      </c>
      <c r="Z27" s="130"/>
      <c r="AA27" s="132">
        <f t="shared" si="11"/>
        <v>4310000</v>
      </c>
      <c r="AB27" s="135" t="s">
        <v>1190</v>
      </c>
      <c r="AC27" s="130">
        <f t="shared" si="12"/>
        <v>842000</v>
      </c>
      <c r="AD27" s="130"/>
      <c r="AE27" s="132">
        <f t="shared" si="13"/>
        <v>842000</v>
      </c>
      <c r="AF27" s="129">
        <f t="shared" si="14"/>
        <v>-3468000</v>
      </c>
    </row>
    <row r="28" spans="1:32" s="106" customFormat="1" ht="21.75" customHeight="1">
      <c r="A28" s="101" t="s">
        <v>1311</v>
      </c>
      <c r="B28" s="75"/>
      <c r="C28" s="100">
        <f>7/7*99/99*25+12/12*98/98*(35+7)*0</f>
        <v>25</v>
      </c>
      <c r="D28" s="52">
        <v>124</v>
      </c>
      <c r="E28" s="52">
        <f>7</f>
        <v>7</v>
      </c>
      <c r="F28" s="52">
        <v>81</v>
      </c>
      <c r="G28" s="52">
        <f>28+21</f>
        <v>49</v>
      </c>
      <c r="H28" s="52">
        <f t="shared" si="9"/>
        <v>286</v>
      </c>
      <c r="I28" s="3"/>
      <c r="J28" s="72">
        <f>350+329*0*5/5+51/51*9/9*173429*0*(12/12)+52/52*(71902.67*0+3/3*-36800*0+4/4*55281.85*0+5/5*-78400*0+6/6*-106344.02*0+7/7*-137931.47*0+8/8*-155617.32*0+9/9*-81222.79*0+10/10*34299.13*0+12/12*170452.85)+54/54*(131277*0+3/3*189256*0+5/5*275542*0+6/6*302951*0*(12/12))+71/71*7224+3/3*(4/4)*(5151/5151*(65770*0+5/5*125622*0+8/8*120039*0+9/9*173429*0)+54/54*(50671*0)+5169/5169*(99406*0+9/9*102336*0+12/12*127852)+71/71*(23843.64*0+6/6*48982.44*0+9/9*130253.64*0+12/12*(104169.64+93/93*35000+99/99*25000))+102/102*(9/9*6500*0+12/12*(21196+93/93*7000)))-J149-J147</f>
        <v>315644.49</v>
      </c>
      <c r="K28" s="26">
        <f t="shared" si="7"/>
        <v>1.103652062937063</v>
      </c>
      <c r="L28" s="7"/>
      <c r="M28" s="8"/>
      <c r="N28" s="8"/>
      <c r="O28" s="8"/>
      <c r="P28" s="8"/>
      <c r="Q28" s="8"/>
      <c r="R28" s="8"/>
      <c r="S28" s="46">
        <f t="shared" si="15"/>
        <v>0</v>
      </c>
      <c r="T28" s="53" t="s">
        <v>1170</v>
      </c>
      <c r="U28" s="22"/>
      <c r="V28" s="26"/>
      <c r="Y28" s="130">
        <f t="shared" si="10"/>
        <v>315644.49</v>
      </c>
      <c r="Z28" s="137">
        <f>112712.45*0+12/12*164684.65</f>
        <v>164684.65</v>
      </c>
      <c r="AA28" s="132">
        <f t="shared" si="11"/>
        <v>480329.14</v>
      </c>
      <c r="AB28" s="138"/>
      <c r="AC28" s="130">
        <f t="shared" si="12"/>
        <v>0</v>
      </c>
      <c r="AD28" s="137">
        <f>562764.54*0+12/12*623634.09</f>
        <v>623634.09</v>
      </c>
      <c r="AE28" s="132">
        <f t="shared" si="13"/>
        <v>623634.09</v>
      </c>
      <c r="AF28" s="129">
        <f t="shared" si="14"/>
        <v>143304.94999999995</v>
      </c>
    </row>
    <row r="29" spans="1:32" s="106" customFormat="1" ht="12.75">
      <c r="A29" s="101" t="s">
        <v>1291</v>
      </c>
      <c r="B29" s="75"/>
      <c r="C29" s="52">
        <f>7/7*99/99*824+93/93*140.6*0</f>
        <v>824</v>
      </c>
      <c r="D29" s="52">
        <v>1682</v>
      </c>
      <c r="E29" s="52">
        <f>1112/1112*108+41609/41609*635</f>
        <v>743</v>
      </c>
      <c r="F29" s="52">
        <v>547</v>
      </c>
      <c r="G29" s="52">
        <f>12/12*10*0</f>
        <v>0</v>
      </c>
      <c r="H29" s="52">
        <f t="shared" si="9"/>
        <v>3796</v>
      </c>
      <c r="I29" s="3"/>
      <c r="J29" s="7">
        <f>111212/111212*108298+41069/41069*(4/4*751848*0+5/5*1681874*0+6/6*2468696*0+7/7*2505866*0+8/8*2666902*0+9/9*3405947*0+10/10*3687690*0+12/12*3694771)</f>
        <v>3803069</v>
      </c>
      <c r="K29" s="26">
        <f t="shared" si="7"/>
        <v>1.0018622233930452</v>
      </c>
      <c r="L29" s="7"/>
      <c r="M29" s="8"/>
      <c r="N29" s="8"/>
      <c r="O29" s="8"/>
      <c r="P29" s="8"/>
      <c r="Q29" s="8"/>
      <c r="R29" s="8"/>
      <c r="S29" s="46">
        <f t="shared" si="15"/>
        <v>0</v>
      </c>
      <c r="T29" s="53" t="s">
        <v>1170</v>
      </c>
      <c r="U29" s="22"/>
      <c r="V29" s="26"/>
      <c r="Y29" s="130">
        <f t="shared" si="10"/>
        <v>3803069</v>
      </c>
      <c r="Z29" s="130"/>
      <c r="AA29" s="132">
        <f t="shared" si="11"/>
        <v>3803069</v>
      </c>
      <c r="AB29" s="133"/>
      <c r="AC29" s="130">
        <f t="shared" si="12"/>
        <v>0</v>
      </c>
      <c r="AD29" s="130"/>
      <c r="AE29" s="132">
        <f t="shared" si="13"/>
        <v>0</v>
      </c>
      <c r="AF29" s="129">
        <f t="shared" si="14"/>
        <v>-3803069</v>
      </c>
    </row>
    <row r="30" spans="1:32" s="106" customFormat="1" ht="12.75">
      <c r="A30" s="37" t="s">
        <v>1159</v>
      </c>
      <c r="B30" s="8">
        <f>(1050*1.05-2.5-1100*0)*(1+0.015*5)+3.5*0-1120*0+7.5-1190*0</f>
        <v>1190</v>
      </c>
      <c r="C30" s="46"/>
      <c r="D30" s="46"/>
      <c r="E30" s="46"/>
      <c r="F30" s="46"/>
      <c r="G30" s="46"/>
      <c r="H30" s="46">
        <f t="shared" si="9"/>
        <v>1190</v>
      </c>
      <c r="I30" s="3"/>
      <c r="J30" s="7">
        <f>1190000/12*(1/1+2/2+3/3+(4/4+5/5+6/6)+(7/7+8/8+9/9)+(10/10+11/11+12/12))+2500*(2/2+5/5+8/8)+12/12*-7500</f>
        <v>1190000</v>
      </c>
      <c r="K30" s="26">
        <f t="shared" si="7"/>
        <v>1</v>
      </c>
      <c r="L30" s="7"/>
      <c r="M30" s="8"/>
      <c r="N30" s="8"/>
      <c r="O30" s="8"/>
      <c r="P30" s="8"/>
      <c r="Q30" s="8"/>
      <c r="R30" s="8"/>
      <c r="S30" s="46">
        <f t="shared" si="15"/>
        <v>0</v>
      </c>
      <c r="T30" s="53" t="s">
        <v>1170</v>
      </c>
      <c r="U30" s="22"/>
      <c r="V30" s="26"/>
      <c r="Y30" s="130">
        <f t="shared" si="10"/>
        <v>1190000</v>
      </c>
      <c r="Z30" s="130"/>
      <c r="AA30" s="132">
        <f t="shared" si="11"/>
        <v>1190000</v>
      </c>
      <c r="AB30" s="133"/>
      <c r="AC30" s="130">
        <f t="shared" si="12"/>
        <v>0</v>
      </c>
      <c r="AD30" s="130"/>
      <c r="AE30" s="132">
        <f t="shared" si="13"/>
        <v>0</v>
      </c>
      <c r="AF30" s="129">
        <f t="shared" si="14"/>
        <v>-1190000</v>
      </c>
    </row>
    <row r="31" spans="1:32" s="106" customFormat="1" ht="12.75" customHeight="1">
      <c r="A31" s="101" t="s">
        <v>1172</v>
      </c>
      <c r="B31" s="75"/>
      <c r="C31" s="52"/>
      <c r="D31" s="52"/>
      <c r="E31" s="52"/>
      <c r="F31" s="52">
        <f>33+7</f>
        <v>40</v>
      </c>
      <c r="G31" s="52"/>
      <c r="H31" s="52">
        <f t="shared" si="9"/>
        <v>40</v>
      </c>
      <c r="I31" s="3"/>
      <c r="J31" s="7">
        <f>52/52*(6285.1*0+4/4*20436.68*0+6/6*-5674.06*0*7/7+8/8*4525.37*0+9/9*8524.37*0+10/10*-4934.32*0+12/12*20433.72)+69/69*(8/8*445409*0+9/9*33029)+(4/4)*71/71*7081*0*(12/12)</f>
        <v>53462.72</v>
      </c>
      <c r="K31" s="26"/>
      <c r="L31" s="7"/>
      <c r="M31" s="8"/>
      <c r="N31" s="8"/>
      <c r="O31" s="8"/>
      <c r="P31" s="8"/>
      <c r="Q31" s="8"/>
      <c r="R31" s="8"/>
      <c r="S31" s="46">
        <f t="shared" si="15"/>
        <v>0</v>
      </c>
      <c r="T31" s="53" t="s">
        <v>1170</v>
      </c>
      <c r="U31" s="22"/>
      <c r="V31" s="26"/>
      <c r="Y31" s="130">
        <f t="shared" si="10"/>
        <v>53462.72</v>
      </c>
      <c r="Z31" s="130"/>
      <c r="AA31" s="132">
        <f t="shared" si="11"/>
        <v>53462.72</v>
      </c>
      <c r="AB31" s="133"/>
      <c r="AC31" s="130">
        <f t="shared" si="12"/>
        <v>0</v>
      </c>
      <c r="AD31" s="130"/>
      <c r="AE31" s="132">
        <f t="shared" si="13"/>
        <v>0</v>
      </c>
      <c r="AF31" s="129">
        <f t="shared" si="14"/>
        <v>-53462.72</v>
      </c>
    </row>
    <row r="32" spans="1:32" s="106" customFormat="1" ht="12.75" hidden="1">
      <c r="A32" s="37" t="s">
        <v>1171</v>
      </c>
      <c r="B32" s="75"/>
      <c r="C32" s="52"/>
      <c r="D32" s="52"/>
      <c r="E32" s="52"/>
      <c r="F32" s="52"/>
      <c r="G32" s="52"/>
      <c r="H32" s="52">
        <f t="shared" si="9"/>
        <v>0</v>
      </c>
      <c r="I32" s="3"/>
      <c r="J32" s="7"/>
      <c r="K32" s="26"/>
      <c r="L32" s="4" t="s">
        <v>1258</v>
      </c>
      <c r="M32" s="8"/>
      <c r="N32" s="8"/>
      <c r="O32" s="8"/>
      <c r="P32" s="8"/>
      <c r="Q32" s="8"/>
      <c r="R32" s="8"/>
      <c r="S32" s="46">
        <f t="shared" si="15"/>
        <v>0</v>
      </c>
      <c r="T32" s="53" t="s">
        <v>1170</v>
      </c>
      <c r="U32" s="22"/>
      <c r="V32" s="26"/>
      <c r="Y32" s="126"/>
      <c r="Z32" s="126"/>
      <c r="AA32" s="126"/>
      <c r="AB32" s="133"/>
      <c r="AC32" s="126"/>
      <c r="AD32" s="126"/>
      <c r="AE32" s="126"/>
      <c r="AF32" s="128"/>
    </row>
    <row r="33" spans="1:32" s="106" customFormat="1" ht="12.75">
      <c r="A33" s="37" t="s">
        <v>1160</v>
      </c>
      <c r="B33" s="75"/>
      <c r="C33" s="52">
        <f>7/7*99/99*13</f>
        <v>13</v>
      </c>
      <c r="D33" s="52"/>
      <c r="E33" s="52"/>
      <c r="F33" s="52"/>
      <c r="G33" s="52"/>
      <c r="H33" s="52">
        <f t="shared" si="9"/>
        <v>13</v>
      </c>
      <c r="I33" s="3"/>
      <c r="J33" s="7">
        <f>2/2*13000</f>
        <v>13000</v>
      </c>
      <c r="K33" s="26">
        <f>J33/(H33*1000)</f>
        <v>1</v>
      </c>
      <c r="L33" s="7"/>
      <c r="M33" s="8"/>
      <c r="N33" s="8"/>
      <c r="O33" s="8"/>
      <c r="P33" s="8"/>
      <c r="Q33" s="8"/>
      <c r="R33" s="8"/>
      <c r="S33" s="46">
        <f t="shared" si="15"/>
        <v>0</v>
      </c>
      <c r="T33" s="53" t="s">
        <v>1170</v>
      </c>
      <c r="U33" s="22"/>
      <c r="V33" s="26"/>
      <c r="Y33" s="130">
        <f>J33</f>
        <v>13000</v>
      </c>
      <c r="Z33" s="130"/>
      <c r="AA33" s="132">
        <f>Y33+Z33</f>
        <v>13000</v>
      </c>
      <c r="AB33" s="133"/>
      <c r="AC33" s="130">
        <f>U33</f>
        <v>0</v>
      </c>
      <c r="AD33" s="130"/>
      <c r="AE33" s="132">
        <f>AC33+AD33</f>
        <v>0</v>
      </c>
      <c r="AF33" s="129">
        <f>AE33-AA33</f>
        <v>-13000</v>
      </c>
    </row>
    <row r="34" spans="1:32" s="103" customFormat="1" ht="15" customHeight="1">
      <c r="A34" s="77" t="s">
        <v>1210</v>
      </c>
      <c r="B34" s="48">
        <f aca="true" t="shared" si="16" ref="B34:H34">SUM(B24:B33)</f>
        <v>9920</v>
      </c>
      <c r="C34" s="13">
        <f t="shared" si="16"/>
        <v>1686</v>
      </c>
      <c r="D34" s="13">
        <f t="shared" si="16"/>
        <v>812</v>
      </c>
      <c r="E34" s="13">
        <f t="shared" si="16"/>
        <v>-240</v>
      </c>
      <c r="F34" s="13">
        <f t="shared" si="16"/>
        <v>725</v>
      </c>
      <c r="G34" s="13">
        <f t="shared" si="16"/>
        <v>-705</v>
      </c>
      <c r="H34" s="13">
        <f t="shared" si="16"/>
        <v>12198</v>
      </c>
      <c r="I34" s="56"/>
      <c r="J34" s="40">
        <f>SUM(J24:J33)</f>
        <v>12245171.110000001</v>
      </c>
      <c r="K34" s="27">
        <f>J34/(H34*1000)</f>
        <v>1.0038671183800625</v>
      </c>
      <c r="L34" s="7"/>
      <c r="M34" s="13">
        <f aca="true" t="shared" si="17" ref="M34:R34">SUM(M24:M33)</f>
        <v>1250</v>
      </c>
      <c r="N34" s="13">
        <f t="shared" si="17"/>
        <v>0</v>
      </c>
      <c r="O34" s="13">
        <f t="shared" si="17"/>
        <v>0</v>
      </c>
      <c r="P34" s="13">
        <f t="shared" si="17"/>
        <v>0</v>
      </c>
      <c r="Q34" s="13">
        <f t="shared" si="17"/>
        <v>0</v>
      </c>
      <c r="R34" s="13">
        <f t="shared" si="17"/>
        <v>0</v>
      </c>
      <c r="S34" s="13">
        <f>SUM(S24:S33)</f>
        <v>1250</v>
      </c>
      <c r="T34" s="56"/>
      <c r="U34" s="40">
        <f>SUM(U24:U33)</f>
        <v>1250000</v>
      </c>
      <c r="V34" s="27">
        <f>U34/(S34*1000)</f>
        <v>1</v>
      </c>
      <c r="Y34" s="126"/>
      <c r="Z34" s="126"/>
      <c r="AA34" s="126"/>
      <c r="AB34" s="133"/>
      <c r="AC34" s="126"/>
      <c r="AD34" s="126"/>
      <c r="AE34" s="126"/>
      <c r="AF34" s="128"/>
    </row>
    <row r="35" spans="1:32" s="106" customFormat="1" ht="12.75">
      <c r="A35" s="37" t="s">
        <v>1177</v>
      </c>
      <c r="B35" s="6">
        <f>100+160*0</f>
        <v>100</v>
      </c>
      <c r="C35" s="6"/>
      <c r="D35" s="6"/>
      <c r="E35" s="6"/>
      <c r="F35" s="6"/>
      <c r="G35" s="6">
        <f>7+9+17+(5)</f>
        <v>38</v>
      </c>
      <c r="H35" s="6">
        <f aca="true" t="shared" si="18" ref="H35:H45">SUM(B35:G35)</f>
        <v>138</v>
      </c>
      <c r="I35" s="3"/>
      <c r="J35" s="7">
        <f>(3/3)*(2/2*2899.2*0+3/3*11847.4*0+4/4*13304.6*0+5/5*16487.6*0+6/6*18170*0+7/7*19807*0+8/8*21201.2*0+9/9*116840.4*0+10/10*121584.4*0+12/12*133513.8)</f>
        <v>133513.8</v>
      </c>
      <c r="K35" s="26">
        <f aca="true" t="shared" si="19" ref="K35:K55">J35/(H35*1000)</f>
        <v>0.967491304347826</v>
      </c>
      <c r="L35" s="7"/>
      <c r="M35" s="8"/>
      <c r="N35" s="8"/>
      <c r="O35" s="8"/>
      <c r="P35" s="8"/>
      <c r="Q35" s="8"/>
      <c r="R35" s="8"/>
      <c r="S35" s="46">
        <f aca="true" t="shared" si="20" ref="S35:S45">SUM(M35:R35)</f>
        <v>0</v>
      </c>
      <c r="T35" s="53" t="s">
        <v>1170</v>
      </c>
      <c r="U35" s="22"/>
      <c r="V35" s="26"/>
      <c r="Y35" s="130">
        <f aca="true" t="shared" si="21" ref="Y35:Y41">J35</f>
        <v>133513.8</v>
      </c>
      <c r="Z35" s="130"/>
      <c r="AA35" s="132">
        <f aca="true" t="shared" si="22" ref="AA35:AA41">Y35+Z35</f>
        <v>133513.8</v>
      </c>
      <c r="AB35" s="133"/>
      <c r="AC35" s="130">
        <f aca="true" t="shared" si="23" ref="AC35:AC41">U35</f>
        <v>0</v>
      </c>
      <c r="AD35" s="130"/>
      <c r="AE35" s="132">
        <f aca="true" t="shared" si="24" ref="AE35:AE41">AC35+AD35</f>
        <v>0</v>
      </c>
      <c r="AF35" s="129">
        <f aca="true" t="shared" si="25" ref="AF35:AF41">AE35-AA35</f>
        <v>-133513.8</v>
      </c>
    </row>
    <row r="36" spans="1:32" s="106" customFormat="1" ht="12.75">
      <c r="A36" s="37" t="s">
        <v>1188</v>
      </c>
      <c r="B36" s="6">
        <f>100*0+160</f>
        <v>160</v>
      </c>
      <c r="C36" s="6"/>
      <c r="D36" s="6"/>
      <c r="E36" s="6"/>
      <c r="F36" s="6"/>
      <c r="G36" s="6">
        <f>34+6+87+33+10+(3)</f>
        <v>173</v>
      </c>
      <c r="H36" s="6">
        <f t="shared" si="18"/>
        <v>333</v>
      </c>
      <c r="I36" s="3"/>
      <c r="J36" s="7">
        <f>(3/3)*(2/2*10701.2*0+3/3*15514.8*0+4/4*21236.4*0+5/5*30913.4*0+6/6*72866.6*0+7/7*78169.6*0+8/8*84515.2*0+9/9*276625.8*0+10/10*279031.8*0+12/12*303376.62)+(4/4)*6/6*9195.24</f>
        <v>312571.86</v>
      </c>
      <c r="K36" s="26">
        <f t="shared" si="19"/>
        <v>0.9386542342342342</v>
      </c>
      <c r="L36" s="7"/>
      <c r="M36" s="8"/>
      <c r="N36" s="8"/>
      <c r="O36" s="8"/>
      <c r="P36" s="8"/>
      <c r="Q36" s="8"/>
      <c r="R36" s="8"/>
      <c r="S36" s="46">
        <f t="shared" si="20"/>
        <v>0</v>
      </c>
      <c r="T36" s="53" t="s">
        <v>1170</v>
      </c>
      <c r="U36" s="22"/>
      <c r="V36" s="26"/>
      <c r="Y36" s="130">
        <f t="shared" si="21"/>
        <v>312571.86</v>
      </c>
      <c r="Z36" s="130"/>
      <c r="AA36" s="132">
        <f t="shared" si="22"/>
        <v>312571.86</v>
      </c>
      <c r="AB36" s="133"/>
      <c r="AC36" s="130">
        <f t="shared" si="23"/>
        <v>0</v>
      </c>
      <c r="AD36" s="130"/>
      <c r="AE36" s="132">
        <f t="shared" si="24"/>
        <v>0</v>
      </c>
      <c r="AF36" s="129">
        <f t="shared" si="25"/>
        <v>-312571.86</v>
      </c>
    </row>
    <row r="37" spans="1:32" s="106" customFormat="1" ht="12.75">
      <c r="A37" s="99" t="s">
        <v>1312</v>
      </c>
      <c r="B37" s="75"/>
      <c r="C37" s="52"/>
      <c r="D37" s="52"/>
      <c r="E37" s="52">
        <f>9/9*250</f>
        <v>250</v>
      </c>
      <c r="F37" s="52"/>
      <c r="G37" s="52">
        <f>-250+210+15</f>
        <v>-25</v>
      </c>
      <c r="H37" s="52">
        <f t="shared" si="18"/>
        <v>225</v>
      </c>
      <c r="I37" s="3"/>
      <c r="J37" s="7">
        <f>10/10*(37/37*14569.2+6122/6122*210477.6)</f>
        <v>225046.80000000002</v>
      </c>
      <c r="K37" s="26">
        <f t="shared" si="19"/>
        <v>1.000208</v>
      </c>
      <c r="L37" s="7"/>
      <c r="M37" s="8"/>
      <c r="N37" s="8"/>
      <c r="O37" s="8"/>
      <c r="P37" s="8"/>
      <c r="Q37" s="8"/>
      <c r="R37" s="8"/>
      <c r="S37" s="46"/>
      <c r="T37" s="53"/>
      <c r="U37" s="22"/>
      <c r="V37" s="26"/>
      <c r="Y37" s="130">
        <f t="shared" si="21"/>
        <v>225046.80000000002</v>
      </c>
      <c r="Z37" s="130"/>
      <c r="AA37" s="132">
        <f t="shared" si="22"/>
        <v>225046.80000000002</v>
      </c>
      <c r="AB37" s="133"/>
      <c r="AC37" s="130">
        <f t="shared" si="23"/>
        <v>0</v>
      </c>
      <c r="AD37" s="130"/>
      <c r="AE37" s="132">
        <f t="shared" si="24"/>
        <v>0</v>
      </c>
      <c r="AF37" s="129">
        <f t="shared" si="25"/>
        <v>-225046.80000000002</v>
      </c>
    </row>
    <row r="38" spans="1:32" s="106" customFormat="1" ht="12.75">
      <c r="A38" s="37" t="s">
        <v>1161</v>
      </c>
      <c r="B38" s="8">
        <f>12*121*(12*20)/1000+1.52</f>
        <v>350</v>
      </c>
      <c r="C38" s="46"/>
      <c r="D38" s="46"/>
      <c r="E38" s="46"/>
      <c r="F38" s="46"/>
      <c r="G38" s="46">
        <f>10</f>
        <v>10</v>
      </c>
      <c r="H38" s="46">
        <f t="shared" si="18"/>
        <v>360</v>
      </c>
      <c r="I38" s="3"/>
      <c r="J38" s="7">
        <f>2/2*12*4482-53784*0+3/3*13*2498-86258*0+4/4*13*2533-119187*0+5/5*13*2170-147397*0+6/6*13*2320-177557*0+7/7*13*2317-207678*0+8/8*13*2117-235199*0+9/9*13*2395-266334*0+10/10*13*(1210+835)-292919*0+11/11*(13*(1535+1039)-33462*0)+12/12*(13*(1559+1004)-33319*0)-12/12*359700*0</f>
        <v>359700</v>
      </c>
      <c r="K38" s="26">
        <f t="shared" si="19"/>
        <v>0.9991666666666666</v>
      </c>
      <c r="L38" s="7"/>
      <c r="M38" s="8"/>
      <c r="N38" s="8"/>
      <c r="O38" s="8"/>
      <c r="P38" s="8"/>
      <c r="Q38" s="8"/>
      <c r="R38" s="8"/>
      <c r="S38" s="46">
        <f t="shared" si="20"/>
        <v>0</v>
      </c>
      <c r="T38" s="53" t="s">
        <v>1170</v>
      </c>
      <c r="U38" s="22"/>
      <c r="V38" s="26"/>
      <c r="Y38" s="130">
        <f t="shared" si="21"/>
        <v>359700</v>
      </c>
      <c r="Z38" s="130"/>
      <c r="AA38" s="132">
        <f t="shared" si="22"/>
        <v>359700</v>
      </c>
      <c r="AB38" s="133"/>
      <c r="AC38" s="130">
        <f t="shared" si="23"/>
        <v>0</v>
      </c>
      <c r="AD38" s="130"/>
      <c r="AE38" s="132">
        <f t="shared" si="24"/>
        <v>0</v>
      </c>
      <c r="AF38" s="129">
        <f t="shared" si="25"/>
        <v>-359700</v>
      </c>
    </row>
    <row r="39" spans="1:32" s="106" customFormat="1" ht="12.75">
      <c r="A39" s="37" t="s">
        <v>1292</v>
      </c>
      <c r="B39" s="75"/>
      <c r="C39" s="52"/>
      <c r="D39" s="52"/>
      <c r="E39" s="52"/>
      <c r="F39" s="52"/>
      <c r="G39" s="52">
        <v>10</v>
      </c>
      <c r="H39" s="52">
        <f t="shared" si="18"/>
        <v>10</v>
      </c>
      <c r="I39" s="3"/>
      <c r="J39" s="7">
        <f>9/9*9600</f>
        <v>9600</v>
      </c>
      <c r="K39" s="26"/>
      <c r="L39" s="7"/>
      <c r="M39" s="8"/>
      <c r="N39" s="8"/>
      <c r="O39" s="8"/>
      <c r="P39" s="8"/>
      <c r="Q39" s="8"/>
      <c r="R39" s="8"/>
      <c r="S39" s="46">
        <f t="shared" si="20"/>
        <v>0</v>
      </c>
      <c r="T39" s="53" t="s">
        <v>1170</v>
      </c>
      <c r="U39" s="22"/>
      <c r="V39" s="26"/>
      <c r="Y39" s="130">
        <f t="shared" si="21"/>
        <v>9600</v>
      </c>
      <c r="Z39" s="130"/>
      <c r="AA39" s="132">
        <f t="shared" si="22"/>
        <v>9600</v>
      </c>
      <c r="AB39" s="133"/>
      <c r="AC39" s="130">
        <f t="shared" si="23"/>
        <v>0</v>
      </c>
      <c r="AD39" s="130"/>
      <c r="AE39" s="132">
        <f t="shared" si="24"/>
        <v>0</v>
      </c>
      <c r="AF39" s="129">
        <f t="shared" si="25"/>
        <v>-9600</v>
      </c>
    </row>
    <row r="40" spans="1:32" s="106" customFormat="1" ht="12.75" customHeight="1">
      <c r="A40" s="37" t="s">
        <v>1227</v>
      </c>
      <c r="B40" s="8">
        <f>2446*1.1+9.4</f>
        <v>2700.0000000000005</v>
      </c>
      <c r="C40" s="46"/>
      <c r="D40" s="46"/>
      <c r="E40" s="46"/>
      <c r="F40" s="46"/>
      <c r="G40" s="100">
        <f>14+5.5+5+12/12*(-5)+8*0</f>
        <v>19.5</v>
      </c>
      <c r="H40" s="52">
        <f t="shared" si="18"/>
        <v>2719.5000000000005</v>
      </c>
      <c r="I40" s="3"/>
      <c r="J40" s="7">
        <f>(3/3)*(2/2*263396.02*0+3/3*534936.3*0+4/4*856496.57*0+5/5*1003012.14*0+6/6*1223717.18*0+7/7*1532686.3*0+8/8*1771194.89*0+9/9*2032769.88*0+10/10*2280115.59*0+12/12*3131386.89-J120-J134)+43512/43512*(3786*0+3/3*7538*0+4/4*11323*0+5/5*67*0+6/6*3819*0+7/7*7604*0+8/8*11356*0+9/9*100*0+10/10*1778*0+12/12*956)</f>
        <v>2012342.8900000001</v>
      </c>
      <c r="K40" s="26">
        <f t="shared" si="19"/>
        <v>0.7399679683765398</v>
      </c>
      <c r="L40" s="7"/>
      <c r="M40" s="8">
        <v>470</v>
      </c>
      <c r="N40" s="8"/>
      <c r="O40" s="8"/>
      <c r="P40" s="8">
        <v>30</v>
      </c>
      <c r="Q40" s="8"/>
      <c r="R40" s="8"/>
      <c r="S40" s="58">
        <f t="shared" si="20"/>
        <v>500</v>
      </c>
      <c r="T40" s="53" t="s">
        <v>1170</v>
      </c>
      <c r="U40" s="22">
        <f>2/2*78559*0+3/3*119982*0+4/4*161541*0+5/5*200940*0+6/6*238069*0+7/7*278447*0+8/8*312674*0+9/9*353939*0+10/10*389657*0+12/12*479621</f>
        <v>479621</v>
      </c>
      <c r="V40" s="26">
        <f>U40/(S40*1000)</f>
        <v>0.959242</v>
      </c>
      <c r="Y40" s="130">
        <f t="shared" si="21"/>
        <v>2012342.8900000001</v>
      </c>
      <c r="Z40" s="137">
        <f>30069.51*0+12/12*31049.51</f>
        <v>31049.51</v>
      </c>
      <c r="AA40" s="132">
        <f t="shared" si="22"/>
        <v>2043392.4000000001</v>
      </c>
      <c r="AB40" s="133"/>
      <c r="AC40" s="130">
        <f t="shared" si="23"/>
        <v>479621</v>
      </c>
      <c r="AD40" s="137">
        <f>(3974.84+10099.6)*0+12/12*(5037.3+10099.6+7999.68)</f>
        <v>23136.58</v>
      </c>
      <c r="AE40" s="132">
        <f t="shared" si="24"/>
        <v>502757.58</v>
      </c>
      <c r="AF40" s="129">
        <f t="shared" si="25"/>
        <v>-1540634.82</v>
      </c>
    </row>
    <row r="41" spans="1:32" s="106" customFormat="1" ht="12" customHeight="1">
      <c r="A41" s="37" t="s">
        <v>1162</v>
      </c>
      <c r="B41" s="6">
        <v>50</v>
      </c>
      <c r="C41" s="6"/>
      <c r="D41" s="6"/>
      <c r="E41" s="6"/>
      <c r="F41" s="6"/>
      <c r="G41" s="6">
        <f>(0-50)</f>
        <v>-50</v>
      </c>
      <c r="H41" s="6">
        <f t="shared" si="18"/>
        <v>0</v>
      </c>
      <c r="I41" s="3"/>
      <c r="J41" s="7">
        <f>5/5*72</f>
        <v>72</v>
      </c>
      <c r="K41" s="26"/>
      <c r="L41" s="7"/>
      <c r="M41" s="8"/>
      <c r="N41" s="8"/>
      <c r="O41" s="8"/>
      <c r="P41" s="8"/>
      <c r="Q41" s="8"/>
      <c r="R41" s="8"/>
      <c r="S41" s="46">
        <f t="shared" si="20"/>
        <v>0</v>
      </c>
      <c r="T41" s="53" t="s">
        <v>1170</v>
      </c>
      <c r="U41" s="22">
        <f>2/2*3000*0</f>
        <v>0</v>
      </c>
      <c r="V41" s="26"/>
      <c r="Y41" s="130">
        <f t="shared" si="21"/>
        <v>72</v>
      </c>
      <c r="Z41" s="130"/>
      <c r="AA41" s="132">
        <f t="shared" si="22"/>
        <v>72</v>
      </c>
      <c r="AB41" s="139" t="s">
        <v>1191</v>
      </c>
      <c r="AC41" s="130">
        <f t="shared" si="23"/>
        <v>0</v>
      </c>
      <c r="AD41" s="130"/>
      <c r="AE41" s="132">
        <f t="shared" si="24"/>
        <v>0</v>
      </c>
      <c r="AF41" s="129">
        <f t="shared" si="25"/>
        <v>-72</v>
      </c>
    </row>
    <row r="42" spans="1:32" s="106" customFormat="1" ht="12" customHeight="1" hidden="1">
      <c r="A42" s="37" t="s">
        <v>1288</v>
      </c>
      <c r="B42" s="6"/>
      <c r="C42" s="6"/>
      <c r="D42" s="6"/>
      <c r="E42" s="6"/>
      <c r="F42" s="6"/>
      <c r="G42" s="6"/>
      <c r="H42" s="6">
        <f>SUM(B42:G42)</f>
        <v>0</v>
      </c>
      <c r="I42" s="3"/>
      <c r="J42" s="50">
        <f>5/5*44050*0</f>
        <v>0</v>
      </c>
      <c r="K42" s="26"/>
      <c r="L42" s="7"/>
      <c r="M42" s="8"/>
      <c r="N42" s="8"/>
      <c r="O42" s="8"/>
      <c r="P42" s="8"/>
      <c r="Q42" s="8"/>
      <c r="R42" s="8"/>
      <c r="S42" s="46"/>
      <c r="T42" s="53"/>
      <c r="U42" s="22"/>
      <c r="V42" s="26"/>
      <c r="Y42" s="126"/>
      <c r="Z42" s="126"/>
      <c r="AA42" s="126"/>
      <c r="AB42" s="139"/>
      <c r="AC42" s="126"/>
      <c r="AD42" s="126"/>
      <c r="AE42" s="126"/>
      <c r="AF42" s="128"/>
    </row>
    <row r="43" spans="1:32" s="106" customFormat="1" ht="12.75">
      <c r="A43" s="37" t="s">
        <v>1163</v>
      </c>
      <c r="B43" s="6">
        <v>30</v>
      </c>
      <c r="C43" s="6">
        <f>12/12*(5901/5901*45+98/98*(38+35.7))*0</f>
        <v>0</v>
      </c>
      <c r="D43" s="6"/>
      <c r="E43" s="6">
        <f>-8-12+20</f>
        <v>0</v>
      </c>
      <c r="F43" s="6"/>
      <c r="G43" s="6">
        <f>12/12*-37+7</f>
        <v>-30</v>
      </c>
      <c r="H43" s="6">
        <f t="shared" si="18"/>
        <v>0</v>
      </c>
      <c r="I43" s="3"/>
      <c r="J43" s="7">
        <f>(5/5)*(2/2*199*0+3/3*439*0+4/4*1740*0+5/5*3740*0+6/6*(7047*0+10/10*(13785*0+14322)*0+12/12*28403+708/708*(17400*0+7/7*47860*0+8/8*64115*0+9/9*67115*0+12/12*5880)))-98/98*J150</f>
        <v>0</v>
      </c>
      <c r="K43" s="26"/>
      <c r="L43" s="7"/>
      <c r="M43" s="8"/>
      <c r="N43" s="8"/>
      <c r="O43" s="8"/>
      <c r="P43" s="8"/>
      <c r="Q43" s="8"/>
      <c r="R43" s="8"/>
      <c r="S43" s="46">
        <f t="shared" si="20"/>
        <v>0</v>
      </c>
      <c r="T43" s="53" t="s">
        <v>1170</v>
      </c>
      <c r="U43" s="22"/>
      <c r="V43" s="26"/>
      <c r="Y43" s="130">
        <f>J43</f>
        <v>0</v>
      </c>
      <c r="Z43" s="130"/>
      <c r="AA43" s="132">
        <f>Y43+Z43</f>
        <v>0</v>
      </c>
      <c r="AB43" s="135"/>
      <c r="AC43" s="130">
        <f>U43</f>
        <v>0</v>
      </c>
      <c r="AD43" s="130"/>
      <c r="AE43" s="132">
        <f>AC43+AD43</f>
        <v>0</v>
      </c>
      <c r="AF43" s="129">
        <f>AE43-AA43</f>
        <v>0</v>
      </c>
    </row>
    <row r="44" spans="1:32" s="106" customFormat="1" ht="12.75">
      <c r="A44" s="37" t="s">
        <v>1164</v>
      </c>
      <c r="B44" s="75"/>
      <c r="C44" s="52"/>
      <c r="D44" s="52"/>
      <c r="E44" s="52"/>
      <c r="F44" s="52"/>
      <c r="G44" s="52">
        <v>5</v>
      </c>
      <c r="H44" s="52">
        <f t="shared" si="18"/>
        <v>5</v>
      </c>
      <c r="I44" s="3"/>
      <c r="J44" s="7">
        <f>9/9*5442</f>
        <v>5442</v>
      </c>
      <c r="K44" s="26"/>
      <c r="L44" s="7"/>
      <c r="M44" s="8"/>
      <c r="N44" s="8"/>
      <c r="O44" s="8"/>
      <c r="P44" s="8"/>
      <c r="Q44" s="8"/>
      <c r="R44" s="8"/>
      <c r="S44" s="46">
        <f t="shared" si="20"/>
        <v>0</v>
      </c>
      <c r="T44" s="53" t="s">
        <v>1170</v>
      </c>
      <c r="U44" s="22"/>
      <c r="V44" s="26"/>
      <c r="Y44" s="130">
        <f>J44</f>
        <v>5442</v>
      </c>
      <c r="Z44" s="130"/>
      <c r="AA44" s="132">
        <f>Y44+Z44</f>
        <v>5442</v>
      </c>
      <c r="AB44" s="135"/>
      <c r="AC44" s="130">
        <f>U44</f>
        <v>0</v>
      </c>
      <c r="AD44" s="130"/>
      <c r="AE44" s="132">
        <f>AC44+AD44</f>
        <v>0</v>
      </c>
      <c r="AF44" s="129">
        <f>AE44-AA44</f>
        <v>-5442</v>
      </c>
    </row>
    <row r="45" spans="1:32" s="106" customFormat="1" ht="24">
      <c r="A45" s="37" t="s">
        <v>1335</v>
      </c>
      <c r="B45" s="6">
        <f>100+50</f>
        <v>150</v>
      </c>
      <c r="C45" s="6">
        <f>12/12*5901/5901*82.8*0</f>
        <v>0</v>
      </c>
      <c r="D45" s="6"/>
      <c r="E45" s="6">
        <f>35-5-10-20</f>
        <v>0</v>
      </c>
      <c r="F45" s="6"/>
      <c r="G45" s="6">
        <f>12/12*(92)-7</f>
        <v>85</v>
      </c>
      <c r="H45" s="6">
        <f t="shared" si="18"/>
        <v>235</v>
      </c>
      <c r="I45" s="3"/>
      <c r="J45" s="7">
        <f>(5/5)*((2/2*4191*0+3/3*7941*0+5/5*12441*0+6/6*16441*0+8/8*26045*0+12/12*41645)+3319/3319*27450*0+6/6*(37230*0+7/7*81510*0+10/10*94950*0+12/12*140070+4351/4351*(1000*0+9/9*33000*0+10/10*(1750-1000)*0+12/12*2000)))+241212/241212*2500-98/98*J151</f>
        <v>149011</v>
      </c>
      <c r="K45" s="26">
        <f t="shared" si="19"/>
        <v>0.6340893617021277</v>
      </c>
      <c r="L45" s="7"/>
      <c r="M45" s="8"/>
      <c r="N45" s="8"/>
      <c r="O45" s="8"/>
      <c r="P45" s="8"/>
      <c r="Q45" s="8"/>
      <c r="R45" s="8"/>
      <c r="S45" s="46">
        <f t="shared" si="20"/>
        <v>0</v>
      </c>
      <c r="T45" s="53" t="s">
        <v>1170</v>
      </c>
      <c r="U45" s="22"/>
      <c r="V45" s="26"/>
      <c r="Y45" s="130">
        <f>J45</f>
        <v>149011</v>
      </c>
      <c r="Z45" s="130"/>
      <c r="AA45" s="132">
        <f>Y45+Z45</f>
        <v>149011</v>
      </c>
      <c r="AB45" s="135"/>
      <c r="AC45" s="130">
        <f>U45</f>
        <v>0</v>
      </c>
      <c r="AD45" s="130"/>
      <c r="AE45" s="132">
        <f>AC45+AD45</f>
        <v>0</v>
      </c>
      <c r="AF45" s="129">
        <f>AE45-AA45</f>
        <v>-149011</v>
      </c>
    </row>
    <row r="46" spans="1:32" s="103" customFormat="1" ht="15" customHeight="1">
      <c r="A46" s="77" t="s">
        <v>1208</v>
      </c>
      <c r="B46" s="48">
        <f aca="true" t="shared" si="26" ref="B46:H46">SUM(B35:B45)</f>
        <v>3540.0000000000005</v>
      </c>
      <c r="C46" s="13">
        <f t="shared" si="26"/>
        <v>0</v>
      </c>
      <c r="D46" s="13">
        <f t="shared" si="26"/>
        <v>0</v>
      </c>
      <c r="E46" s="13">
        <f t="shared" si="26"/>
        <v>250</v>
      </c>
      <c r="F46" s="13">
        <f t="shared" si="26"/>
        <v>0</v>
      </c>
      <c r="G46" s="13">
        <f t="shared" si="26"/>
        <v>235.5</v>
      </c>
      <c r="H46" s="13">
        <f t="shared" si="26"/>
        <v>4025.5000000000005</v>
      </c>
      <c r="I46" s="56"/>
      <c r="J46" s="40">
        <f>SUM(J35:J45)</f>
        <v>3207300.35</v>
      </c>
      <c r="K46" s="69">
        <f>J46/(H46*1000)</f>
        <v>0.7967458328157992</v>
      </c>
      <c r="L46" s="7"/>
      <c r="M46" s="13">
        <f aca="true" t="shared" si="27" ref="M46:R46">SUM(M35:M45)</f>
        <v>470</v>
      </c>
      <c r="N46" s="13">
        <f t="shared" si="27"/>
        <v>0</v>
      </c>
      <c r="O46" s="13">
        <f t="shared" si="27"/>
        <v>0</v>
      </c>
      <c r="P46" s="13">
        <f t="shared" si="27"/>
        <v>30</v>
      </c>
      <c r="Q46" s="13">
        <f t="shared" si="27"/>
        <v>0</v>
      </c>
      <c r="R46" s="13">
        <f t="shared" si="27"/>
        <v>0</v>
      </c>
      <c r="S46" s="13">
        <f>SUM(S35:S45)</f>
        <v>500</v>
      </c>
      <c r="T46" s="56"/>
      <c r="U46" s="40">
        <f>SUM(U35:U45)</f>
        <v>479621</v>
      </c>
      <c r="V46" s="27">
        <f>U46/(S46*1000)</f>
        <v>0.959242</v>
      </c>
      <c r="Y46" s="126"/>
      <c r="Z46" s="126"/>
      <c r="AA46" s="126"/>
      <c r="AB46" s="133"/>
      <c r="AC46" s="126"/>
      <c r="AD46" s="126"/>
      <c r="AE46" s="126"/>
      <c r="AF46" s="128"/>
    </row>
    <row r="47" spans="1:32" s="106" customFormat="1" ht="12.75">
      <c r="A47" s="37" t="s">
        <v>1268</v>
      </c>
      <c r="B47" s="8">
        <f>860*0+746+3*81-3*35+500-1384+3/3*506+56</f>
        <v>562</v>
      </c>
      <c r="C47" s="46"/>
      <c r="D47" s="46">
        <v>55</v>
      </c>
      <c r="E47" s="46"/>
      <c r="F47" s="46">
        <v>27</v>
      </c>
      <c r="G47" s="46">
        <f>58+17+8+192+12/12*(70)</f>
        <v>345</v>
      </c>
      <c r="H47" s="46">
        <f aca="true" t="shared" si="28" ref="H47:H56">SUM(B47:G47)</f>
        <v>989</v>
      </c>
      <c r="I47" s="3"/>
      <c r="J47" s="7">
        <f>(3/3)*2/2*166498.31*0+3/3*290104.77*0+4/4*418804.65*0+5/5*303278.8*0+6/6*409678.8*0+7/7*521578.19*0+8/8*(612811.94*0+9/9*487247.33*0+10/10*(590282.33*0+590432.33)*0+12/12*669050.65+6121/6121*(27000*0+10/10*218760))</f>
        <v>887810.65</v>
      </c>
      <c r="K47" s="26">
        <f t="shared" si="19"/>
        <v>0.897685187057634</v>
      </c>
      <c r="L47" s="7"/>
      <c r="M47" s="8"/>
      <c r="N47" s="8"/>
      <c r="O47" s="8"/>
      <c r="P47" s="8"/>
      <c r="Q47" s="8"/>
      <c r="R47" s="8">
        <f>12/12*70</f>
        <v>70</v>
      </c>
      <c r="S47" s="46">
        <f aca="true" t="shared" si="29" ref="S47:S56">SUM(M47:R47)</f>
        <v>70</v>
      </c>
      <c r="T47" s="53" t="s">
        <v>1170</v>
      </c>
      <c r="U47" s="22">
        <f>2/2*89105.75*0+3/3*132441*0+4/4*118435.75*0+5/5*116261.38*0+6/6*115277*0+7/7*92748*0+8/8*61667.5*0+9/9*62731*0+10/10*148603.75*0+12/12*69792.43</f>
        <v>69792.43</v>
      </c>
      <c r="V47" s="26"/>
      <c r="Y47" s="130">
        <f aca="true" t="shared" si="30" ref="Y47:Y55">J47</f>
        <v>887810.65</v>
      </c>
      <c r="Z47" s="137">
        <f>(938146.19+6489.38)*0+12/12*(1388257.12+6489.38)</f>
        <v>1394746.5</v>
      </c>
      <c r="AA47" s="132">
        <f aca="true" t="shared" si="31" ref="AA47:AA55">Y47+Z47</f>
        <v>2282557.15</v>
      </c>
      <c r="AB47" s="135"/>
      <c r="AC47" s="130">
        <f aca="true" t="shared" si="32" ref="AC47:AC55">U47</f>
        <v>69792.43</v>
      </c>
      <c r="AD47" s="137">
        <f>(900384.01+9794.74)*0+(1142473.85+11283.34)</f>
        <v>1153757.1900000002</v>
      </c>
      <c r="AE47" s="132">
        <f aca="true" t="shared" si="33" ref="AE47:AE55">AC47+AD47</f>
        <v>1223549.62</v>
      </c>
      <c r="AF47" s="129">
        <f aca="true" t="shared" si="34" ref="AF47:AF55">AE47-AA47</f>
        <v>-1059007.5299999998</v>
      </c>
    </row>
    <row r="48" spans="1:32" s="106" customFormat="1" ht="12.75" customHeight="1">
      <c r="A48" s="37" t="s">
        <v>1165</v>
      </c>
      <c r="B48" s="8">
        <f>1865*0+1804+3*150-54</f>
        <v>2200</v>
      </c>
      <c r="C48" s="46"/>
      <c r="D48" s="46"/>
      <c r="E48" s="46">
        <f>-34-8-3+15+12+11+7</f>
        <v>0</v>
      </c>
      <c r="F48" s="46"/>
      <c r="G48" s="46">
        <f>11+14</f>
        <v>25</v>
      </c>
      <c r="H48" s="46">
        <f t="shared" si="28"/>
        <v>2225</v>
      </c>
      <c r="I48" s="3"/>
      <c r="J48" s="7">
        <f>(3/3)*2/2*219960.65*0+3/3*383943*0+4/4*(571442.15*0+5/5*727916.5*0-81/81*55800+6/6*870687.5*0+7/7*((1039352.84*0+6125/6125*7026)*0+8/8*1199485.2*0+9/9*1306315.04*0+10/10*(1494681.34*0+1501944.44)*0+12/12*(1985985.33+6125/6125*7026)+(4/4)*2400))</f>
        <v>1939611.33</v>
      </c>
      <c r="K48" s="26">
        <f t="shared" si="19"/>
        <v>0.8717354292134831</v>
      </c>
      <c r="L48" s="7"/>
      <c r="M48" s="58">
        <f>125*0+123*1.05-4.15</f>
        <v>125</v>
      </c>
      <c r="N48" s="8"/>
      <c r="O48" s="8"/>
      <c r="P48" s="8"/>
      <c r="Q48" s="8"/>
      <c r="R48" s="8">
        <v>20</v>
      </c>
      <c r="S48" s="46">
        <f t="shared" si="29"/>
        <v>145</v>
      </c>
      <c r="T48" s="53" t="s">
        <v>1170</v>
      </c>
      <c r="U48" s="22">
        <f>2/2*19670*0+3/3*37356*0+4/4*51380*0+5/5*66553*0+6/6*91869*0+7/7*101074*0+8/8*109365*0+10/10*120583*0+12/12*162965</f>
        <v>162965</v>
      </c>
      <c r="V48" s="26">
        <f>U48/(S48*1000)</f>
        <v>1.123896551724138</v>
      </c>
      <c r="Y48" s="130">
        <f t="shared" si="30"/>
        <v>1939611.33</v>
      </c>
      <c r="Z48" s="137">
        <f>5000*0+12/12*6000</f>
        <v>6000</v>
      </c>
      <c r="AA48" s="132">
        <f t="shared" si="31"/>
        <v>1945611.33</v>
      </c>
      <c r="AB48" s="135"/>
      <c r="AC48" s="130">
        <f t="shared" si="32"/>
        <v>162965</v>
      </c>
      <c r="AD48" s="137">
        <f>(17807.16+3587.75)*0+12/12*(20877.36+4438.63)</f>
        <v>25315.99</v>
      </c>
      <c r="AE48" s="132">
        <f t="shared" si="33"/>
        <v>188280.99</v>
      </c>
      <c r="AF48" s="129">
        <f t="shared" si="34"/>
        <v>-1757330.34</v>
      </c>
    </row>
    <row r="49" spans="1:32" s="106" customFormat="1" ht="12.75" customHeight="1">
      <c r="A49" s="37" t="s">
        <v>1166</v>
      </c>
      <c r="B49" s="8">
        <f>710*0+(1592-44/44*583)+(5500-2010/2010*1000-2011/2011*3000)-2509+2012/2012*(3/3*(1197-67)+4/4*(1675-1150))</f>
        <v>1655</v>
      </c>
      <c r="C49" s="46"/>
      <c r="D49" s="46">
        <f>15+6121/6121*-404</f>
        <v>-389</v>
      </c>
      <c r="E49" s="46">
        <f>61+48+14+4+10-80-60-20+6+11+6</f>
        <v>0</v>
      </c>
      <c r="F49" s="46"/>
      <c r="G49" s="46">
        <f>34-30+6+39+4</f>
        <v>53</v>
      </c>
      <c r="H49" s="46">
        <f t="shared" si="28"/>
        <v>1319</v>
      </c>
      <c r="I49" s="3"/>
      <c r="J49" s="7">
        <f>(3/3)*2/2*110790.4*0+3/3*216052.02*0+4/4*364903.42*0+5/5*464079.62*0+6/6*548955.42*0+7/7*739986.83*0+8/8*824213.23*0+9/9*981916.23*0+10/10*1115328.23*0+12/12*1263878.01+(4/4)*(12/12*1536)</f>
        <v>1265414.01</v>
      </c>
      <c r="K49" s="26">
        <f t="shared" si="19"/>
        <v>0.9593737755875663</v>
      </c>
      <c r="L49" s="7"/>
      <c r="M49" s="58">
        <f>110*0+100*1.1</f>
        <v>110.00000000000001</v>
      </c>
      <c r="N49" s="8"/>
      <c r="O49" s="8"/>
      <c r="P49" s="8"/>
      <c r="Q49" s="8"/>
      <c r="R49" s="8"/>
      <c r="S49" s="46">
        <f t="shared" si="29"/>
        <v>110.00000000000001</v>
      </c>
      <c r="T49" s="53" t="s">
        <v>1170</v>
      </c>
      <c r="U49" s="22">
        <f>2/2*1650*0+3/3*2200+10/10*34850*0+12/12*50000</f>
        <v>52200</v>
      </c>
      <c r="V49" s="26">
        <f>U49/(S49*1000)</f>
        <v>0.4745454545454545</v>
      </c>
      <c r="Y49" s="130">
        <f t="shared" si="30"/>
        <v>1265414.01</v>
      </c>
      <c r="Z49" s="137">
        <f>363252.2*0+12/12*531790.2</f>
        <v>531790.2</v>
      </c>
      <c r="AA49" s="132">
        <f t="shared" si="31"/>
        <v>1797204.21</v>
      </c>
      <c r="AB49" s="135"/>
      <c r="AC49" s="130">
        <f t="shared" si="32"/>
        <v>52200</v>
      </c>
      <c r="AD49" s="137">
        <f>226923.27*0+12/12*362704.3</f>
        <v>362704.3</v>
      </c>
      <c r="AE49" s="132">
        <f t="shared" si="33"/>
        <v>414904.3</v>
      </c>
      <c r="AF49" s="129">
        <f t="shared" si="34"/>
        <v>-1382299.91</v>
      </c>
    </row>
    <row r="50" spans="1:32" s="106" customFormat="1" ht="21.75" customHeight="1">
      <c r="A50" s="37" t="s">
        <v>1293</v>
      </c>
      <c r="B50" s="75"/>
      <c r="C50" s="52">
        <f>12/12*98/98*86*0</f>
        <v>0</v>
      </c>
      <c r="D50" s="52">
        <f>41534/41534*1757</f>
        <v>1757</v>
      </c>
      <c r="E50" s="52"/>
      <c r="F50" s="52"/>
      <c r="G50" s="52"/>
      <c r="H50" s="52">
        <f t="shared" si="28"/>
        <v>1757</v>
      </c>
      <c r="I50" s="3"/>
      <c r="J50" s="7">
        <f>(4/4)*2/2*3328541*0+3/3*4104838*0+4/4*(4214974*0+5/5*4464177*0+7/7*4460206*0+9/9*4468336*0+10/10*4550174-90/90*2707570.8)-98/98*J154</f>
        <v>1753627.2000000002</v>
      </c>
      <c r="K50" s="26">
        <f t="shared" si="19"/>
        <v>0.9980803642572568</v>
      </c>
      <c r="L50" s="7"/>
      <c r="M50" s="8"/>
      <c r="N50" s="8"/>
      <c r="O50" s="8"/>
      <c r="P50" s="8"/>
      <c r="Q50" s="8"/>
      <c r="R50" s="8"/>
      <c r="S50" s="46">
        <f t="shared" si="29"/>
        <v>0</v>
      </c>
      <c r="T50" s="53" t="s">
        <v>1170</v>
      </c>
      <c r="U50" s="22"/>
      <c r="V50" s="26"/>
      <c r="Y50" s="164">
        <f t="shared" si="30"/>
        <v>1753627.2000000002</v>
      </c>
      <c r="Z50" s="130"/>
      <c r="AA50" s="132">
        <f t="shared" si="31"/>
        <v>1753627.2000000002</v>
      </c>
      <c r="AB50" s="135"/>
      <c r="AC50" s="130">
        <f t="shared" si="32"/>
        <v>0</v>
      </c>
      <c r="AD50" s="130"/>
      <c r="AE50" s="132">
        <f t="shared" si="33"/>
        <v>0</v>
      </c>
      <c r="AF50" s="129">
        <f t="shared" si="34"/>
        <v>-1753627.2000000002</v>
      </c>
    </row>
    <row r="51" spans="1:32" s="106" customFormat="1" ht="12.75">
      <c r="A51" s="37" t="s">
        <v>1207</v>
      </c>
      <c r="B51" s="8">
        <f>12+16*0</f>
        <v>12</v>
      </c>
      <c r="C51" s="46"/>
      <c r="D51" s="46"/>
      <c r="E51" s="46"/>
      <c r="F51" s="46"/>
      <c r="G51" s="46"/>
      <c r="H51" s="46">
        <f t="shared" si="28"/>
        <v>12</v>
      </c>
      <c r="I51" s="3"/>
      <c r="J51" s="7">
        <f>(3/3)*(2/2+3/3+4/4+5/5+6/6*0+8/8+9/9+10/10+(11/11+12/12*2))*1200+(6/6*180+7/7*(1020+1200))</f>
        <v>14400</v>
      </c>
      <c r="K51" s="26">
        <f t="shared" si="19"/>
        <v>1.2</v>
      </c>
      <c r="L51" s="7"/>
      <c r="M51" s="8"/>
      <c r="N51" s="8"/>
      <c r="O51" s="8"/>
      <c r="P51" s="8"/>
      <c r="Q51" s="8"/>
      <c r="R51" s="8"/>
      <c r="S51" s="46">
        <f t="shared" si="29"/>
        <v>0</v>
      </c>
      <c r="T51" s="53" t="s">
        <v>1170</v>
      </c>
      <c r="U51" s="22"/>
      <c r="V51" s="26"/>
      <c r="Y51" s="130">
        <f t="shared" si="30"/>
        <v>14400</v>
      </c>
      <c r="Z51" s="130"/>
      <c r="AA51" s="132">
        <f t="shared" si="31"/>
        <v>14400</v>
      </c>
      <c r="AB51" s="135"/>
      <c r="AC51" s="130">
        <f t="shared" si="32"/>
        <v>0</v>
      </c>
      <c r="AD51" s="130"/>
      <c r="AE51" s="132">
        <f t="shared" si="33"/>
        <v>0</v>
      </c>
      <c r="AF51" s="129">
        <f t="shared" si="34"/>
        <v>-14400</v>
      </c>
    </row>
    <row r="52" spans="1:32" s="106" customFormat="1" ht="12.75">
      <c r="A52" s="37" t="s">
        <v>1206</v>
      </c>
      <c r="B52" s="8">
        <f>12*0+16</f>
        <v>16</v>
      </c>
      <c r="C52" s="46"/>
      <c r="D52" s="46"/>
      <c r="E52" s="46"/>
      <c r="F52" s="46"/>
      <c r="G52" s="46">
        <f>-5-5+2-4</f>
        <v>-12</v>
      </c>
      <c r="H52" s="46">
        <f t="shared" si="28"/>
        <v>4</v>
      </c>
      <c r="I52" s="3"/>
      <c r="J52" s="7">
        <f>3/3*320*0+4/4*2170*0+12/12*3668</f>
        <v>3668</v>
      </c>
      <c r="K52" s="26">
        <f t="shared" si="19"/>
        <v>0.917</v>
      </c>
      <c r="L52" s="7"/>
      <c r="M52" s="8"/>
      <c r="N52" s="8"/>
      <c r="O52" s="8"/>
      <c r="P52" s="8"/>
      <c r="Q52" s="8"/>
      <c r="R52" s="8"/>
      <c r="S52" s="46">
        <f t="shared" si="29"/>
        <v>0</v>
      </c>
      <c r="T52" s="53" t="s">
        <v>1170</v>
      </c>
      <c r="U52" s="22"/>
      <c r="V52" s="26"/>
      <c r="Y52" s="130">
        <f t="shared" si="30"/>
        <v>3668</v>
      </c>
      <c r="Z52" s="130"/>
      <c r="AA52" s="132">
        <f t="shared" si="31"/>
        <v>3668</v>
      </c>
      <c r="AB52" s="135"/>
      <c r="AC52" s="130">
        <f t="shared" si="32"/>
        <v>0</v>
      </c>
      <c r="AD52" s="130"/>
      <c r="AE52" s="132">
        <f t="shared" si="33"/>
        <v>0</v>
      </c>
      <c r="AF52" s="129">
        <f t="shared" si="34"/>
        <v>-3668</v>
      </c>
    </row>
    <row r="53" spans="1:32" s="106" customFormat="1" ht="23.25">
      <c r="A53" s="37" t="s">
        <v>1294</v>
      </c>
      <c r="B53" s="6">
        <f>35+60+40+50+150</f>
        <v>335</v>
      </c>
      <c r="C53" s="6"/>
      <c r="D53" s="6">
        <f>2012/2012*-10+106/106*45</f>
        <v>35</v>
      </c>
      <c r="E53" s="6"/>
      <c r="F53" s="6"/>
      <c r="G53" s="6">
        <f>2012/2012*11+4379/4379*6+206/206*(-20+5+57)+1310/1310*13+1606/1606*(-9-2)+1509/1509*(4+2)+200</f>
        <v>267</v>
      </c>
      <c r="H53" s="6">
        <f t="shared" si="28"/>
        <v>637</v>
      </c>
      <c r="I53" s="3"/>
      <c r="J53" s="7">
        <f>4379/4379*3/3*6300*0+9/9*12000+5/5*(106/106*44400*0+9/9*45308+206/206*(4980*0+6/6*60980*0+9/9*61888.4)+24122011/24122011*1412)+6/6*2012/2012*10680+9/9*(1509/1509*59607+1606/1606*8000)+10/10*1310/1310*(164031*0+12/12*169979)+4329/4329*0+101112/101112*1217+241212/241212*0</f>
        <v>370091.4</v>
      </c>
      <c r="K53" s="26">
        <f t="shared" si="19"/>
        <v>0.5809912087912088</v>
      </c>
      <c r="L53" s="7"/>
      <c r="M53" s="8"/>
      <c r="N53" s="8"/>
      <c r="O53" s="8"/>
      <c r="P53" s="8"/>
      <c r="Q53" s="8"/>
      <c r="R53" s="8"/>
      <c r="S53" s="46">
        <f t="shared" si="29"/>
        <v>0</v>
      </c>
      <c r="T53" s="53" t="s">
        <v>1170</v>
      </c>
      <c r="U53" s="22"/>
      <c r="V53" s="26"/>
      <c r="Y53" s="130">
        <f t="shared" si="30"/>
        <v>370091.4</v>
      </c>
      <c r="Z53" s="130"/>
      <c r="AA53" s="132">
        <f t="shared" si="31"/>
        <v>370091.4</v>
      </c>
      <c r="AB53" s="135"/>
      <c r="AC53" s="130">
        <f t="shared" si="32"/>
        <v>0</v>
      </c>
      <c r="AD53" s="130"/>
      <c r="AE53" s="132">
        <f t="shared" si="33"/>
        <v>0</v>
      </c>
      <c r="AF53" s="129">
        <f t="shared" si="34"/>
        <v>-370091.4</v>
      </c>
    </row>
    <row r="54" spans="1:32" s="106" customFormat="1" ht="12.75">
      <c r="A54" s="37" t="s">
        <v>1156</v>
      </c>
      <c r="B54" s="75"/>
      <c r="C54" s="52"/>
      <c r="D54" s="52"/>
      <c r="E54" s="52"/>
      <c r="F54" s="52"/>
      <c r="G54" s="52">
        <f>83*0</f>
        <v>0</v>
      </c>
      <c r="H54" s="52">
        <f>SUM(B54:G54)</f>
        <v>0</v>
      </c>
      <c r="I54" s="3"/>
      <c r="J54" s="7">
        <f>(4/4)*(2/2*60036+10/10*6924)*0+3421/3421*82237-98/98*J153</f>
        <v>0</v>
      </c>
      <c r="K54" s="26"/>
      <c r="L54" s="7"/>
      <c r="M54" s="8"/>
      <c r="N54" s="8"/>
      <c r="O54" s="8"/>
      <c r="P54" s="8"/>
      <c r="Q54" s="8"/>
      <c r="R54" s="8"/>
      <c r="S54" s="46">
        <f>SUM(M54:R54)</f>
        <v>0</v>
      </c>
      <c r="T54" s="53" t="s">
        <v>1170</v>
      </c>
      <c r="U54" s="22"/>
      <c r="V54" s="26"/>
      <c r="Y54" s="164">
        <f t="shared" si="30"/>
        <v>0</v>
      </c>
      <c r="Z54" s="140"/>
      <c r="AA54" s="141">
        <f t="shared" si="31"/>
        <v>0</v>
      </c>
      <c r="AB54" s="142"/>
      <c r="AC54" s="140">
        <f t="shared" si="32"/>
        <v>0</v>
      </c>
      <c r="AD54" s="140"/>
      <c r="AE54" s="141">
        <f t="shared" si="33"/>
        <v>0</v>
      </c>
      <c r="AF54" s="141">
        <f t="shared" si="34"/>
        <v>0</v>
      </c>
    </row>
    <row r="55" spans="1:32" s="106" customFormat="1" ht="12.75">
      <c r="A55" s="37" t="s">
        <v>1313</v>
      </c>
      <c r="B55" s="75"/>
      <c r="C55" s="52">
        <f>12/12*127.7*5901/5901*0</f>
        <v>0</v>
      </c>
      <c r="D55" s="52"/>
      <c r="E55" s="52"/>
      <c r="F55" s="52"/>
      <c r="G55" s="52">
        <f>7+8233/8233*60+3419/3419*127.7*0</f>
        <v>67</v>
      </c>
      <c r="H55" s="52">
        <f t="shared" si="28"/>
        <v>67</v>
      </c>
      <c r="I55" s="3"/>
      <c r="J55" s="7">
        <f>(4/4)*2/2*60036+10/10*6924+3421/3421*82237*0-98/98*J152</f>
        <v>66960</v>
      </c>
      <c r="K55" s="26">
        <f t="shared" si="19"/>
        <v>0.9994029850746269</v>
      </c>
      <c r="L55" s="7"/>
      <c r="M55" s="8"/>
      <c r="N55" s="8"/>
      <c r="O55" s="8"/>
      <c r="P55" s="8"/>
      <c r="Q55" s="8"/>
      <c r="R55" s="8"/>
      <c r="S55" s="46">
        <f t="shared" si="29"/>
        <v>0</v>
      </c>
      <c r="T55" s="53" t="s">
        <v>1170</v>
      </c>
      <c r="U55" s="22"/>
      <c r="V55" s="26"/>
      <c r="Y55" s="130">
        <f t="shared" si="30"/>
        <v>66960</v>
      </c>
      <c r="Z55" s="130"/>
      <c r="AA55" s="132">
        <f t="shared" si="31"/>
        <v>66960</v>
      </c>
      <c r="AB55" s="135"/>
      <c r="AC55" s="130">
        <f t="shared" si="32"/>
        <v>0</v>
      </c>
      <c r="AD55" s="130"/>
      <c r="AE55" s="132">
        <f t="shared" si="33"/>
        <v>0</v>
      </c>
      <c r="AF55" s="129">
        <f t="shared" si="34"/>
        <v>-66960</v>
      </c>
    </row>
    <row r="56" spans="1:32" s="106" customFormat="1" ht="12" customHeight="1" hidden="1">
      <c r="A56" s="37" t="s">
        <v>1228</v>
      </c>
      <c r="B56" s="75"/>
      <c r="C56" s="52"/>
      <c r="D56" s="52"/>
      <c r="E56" s="52"/>
      <c r="F56" s="52"/>
      <c r="G56" s="52"/>
      <c r="H56" s="52">
        <f t="shared" si="28"/>
        <v>0</v>
      </c>
      <c r="I56" s="3"/>
      <c r="J56" s="7"/>
      <c r="K56" s="26"/>
      <c r="L56" s="7"/>
      <c r="M56" s="8"/>
      <c r="N56" s="8"/>
      <c r="O56" s="8"/>
      <c r="P56" s="8"/>
      <c r="Q56" s="8"/>
      <c r="R56" s="8"/>
      <c r="S56" s="46">
        <f t="shared" si="29"/>
        <v>0</v>
      </c>
      <c r="T56" s="53" t="s">
        <v>1170</v>
      </c>
      <c r="U56" s="22"/>
      <c r="V56" s="26"/>
      <c r="Y56" s="126"/>
      <c r="Z56" s="126"/>
      <c r="AA56" s="126"/>
      <c r="AB56" s="135"/>
      <c r="AC56" s="126"/>
      <c r="AD56" s="126"/>
      <c r="AE56" s="126"/>
      <c r="AF56" s="128"/>
    </row>
    <row r="57" spans="1:32" s="103" customFormat="1" ht="12.75">
      <c r="A57" s="77" t="s">
        <v>1209</v>
      </c>
      <c r="B57" s="48">
        <f aca="true" t="shared" si="35" ref="B57:H57">SUM(B47:B56)</f>
        <v>4780</v>
      </c>
      <c r="C57" s="13">
        <f t="shared" si="35"/>
        <v>0</v>
      </c>
      <c r="D57" s="13">
        <f t="shared" si="35"/>
        <v>1458</v>
      </c>
      <c r="E57" s="13">
        <f t="shared" si="35"/>
        <v>0</v>
      </c>
      <c r="F57" s="13">
        <f t="shared" si="35"/>
        <v>27</v>
      </c>
      <c r="G57" s="13">
        <f t="shared" si="35"/>
        <v>745</v>
      </c>
      <c r="H57" s="13">
        <f t="shared" si="35"/>
        <v>7010</v>
      </c>
      <c r="I57" s="56"/>
      <c r="J57" s="109">
        <f>SUM(J47:J56)</f>
        <v>6301582.590000001</v>
      </c>
      <c r="K57" s="27">
        <f>J57/(H57*1000)</f>
        <v>0.8989418815977177</v>
      </c>
      <c r="L57" s="7"/>
      <c r="M57" s="13">
        <f aca="true" t="shared" si="36" ref="M57:R57">SUM(M47:M56)</f>
        <v>235</v>
      </c>
      <c r="N57" s="13">
        <f t="shared" si="36"/>
        <v>0</v>
      </c>
      <c r="O57" s="13">
        <f t="shared" si="36"/>
        <v>0</v>
      </c>
      <c r="P57" s="13">
        <f t="shared" si="36"/>
        <v>0</v>
      </c>
      <c r="Q57" s="13">
        <f t="shared" si="36"/>
        <v>0</v>
      </c>
      <c r="R57" s="13">
        <f t="shared" si="36"/>
        <v>90</v>
      </c>
      <c r="S57" s="13">
        <f>SUM(S47:S56)</f>
        <v>325</v>
      </c>
      <c r="T57" s="56"/>
      <c r="U57" s="40">
        <f>SUM(U47:U56)</f>
        <v>284957.43</v>
      </c>
      <c r="V57" s="27">
        <f>U57/(S57*1000)</f>
        <v>0.8767920923076923</v>
      </c>
      <c r="Y57" s="126"/>
      <c r="Z57" s="126"/>
      <c r="AA57" s="126"/>
      <c r="AB57" s="133"/>
      <c r="AC57" s="126"/>
      <c r="AD57" s="126"/>
      <c r="AE57" s="126"/>
      <c r="AF57" s="128"/>
    </row>
    <row r="58" spans="1:32" s="106" customFormat="1" ht="12.75">
      <c r="A58" s="37" t="s">
        <v>1155</v>
      </c>
      <c r="B58" s="6">
        <v>350</v>
      </c>
      <c r="C58" s="6"/>
      <c r="D58" s="6"/>
      <c r="E58" s="6"/>
      <c r="F58" s="6"/>
      <c r="G58" s="6">
        <f>-10-20-33-10-25-38+99+1/1*13</f>
        <v>-24</v>
      </c>
      <c r="H58" s="6">
        <f>SUM(B58:G58)</f>
        <v>326</v>
      </c>
      <c r="I58" s="3"/>
      <c r="J58" s="7">
        <f>(3/3)*2/2*(20626.94*0+3/3*22933.94*0+4/4*35168.94*0+5/5*64555*0+6/6*80439.89*0+7/7*188395.06*0+8/8*(237265.45*0+9/9*364203.55*0+10/10*(376745.85-81/81*90790)*0+12/12*(410641.85-81/81*J146))+1/1*(3046*0+7/7*7635*0+12/12*12519))</f>
        <v>312370.85</v>
      </c>
      <c r="K58" s="26">
        <f>J58/(H58*1000)</f>
        <v>0.9581927914110429</v>
      </c>
      <c r="L58" s="7"/>
      <c r="M58" s="8"/>
      <c r="N58" s="8"/>
      <c r="O58" s="8"/>
      <c r="P58" s="8"/>
      <c r="Q58" s="8"/>
      <c r="R58" s="8"/>
      <c r="S58" s="46">
        <f>SUM(M58:R58)</f>
        <v>0</v>
      </c>
      <c r="T58" s="53" t="s">
        <v>1170</v>
      </c>
      <c r="U58" s="22"/>
      <c r="V58" s="26"/>
      <c r="Y58" s="130">
        <f>J58</f>
        <v>312370.85</v>
      </c>
      <c r="Z58" s="130"/>
      <c r="AA58" s="132">
        <f>Y58+Z58</f>
        <v>312370.85</v>
      </c>
      <c r="AB58" s="139"/>
      <c r="AC58" s="130">
        <f>U58</f>
        <v>0</v>
      </c>
      <c r="AD58" s="130"/>
      <c r="AE58" s="132">
        <f>AC58+AD58</f>
        <v>0</v>
      </c>
      <c r="AF58" s="129">
        <f>AE58-AA58</f>
        <v>-312370.85</v>
      </c>
    </row>
    <row r="59" spans="1:32" s="106" customFormat="1" ht="12.75" customHeight="1" hidden="1">
      <c r="A59" s="37"/>
      <c r="B59" s="75"/>
      <c r="C59" s="52"/>
      <c r="D59" s="52"/>
      <c r="E59" s="52"/>
      <c r="F59" s="52"/>
      <c r="G59" s="52"/>
      <c r="H59" s="52"/>
      <c r="I59" s="3"/>
      <c r="J59" s="7"/>
      <c r="K59" s="26"/>
      <c r="L59" s="7"/>
      <c r="M59" s="6"/>
      <c r="N59" s="6"/>
      <c r="O59" s="6"/>
      <c r="P59" s="6"/>
      <c r="Q59" s="6"/>
      <c r="R59" s="6"/>
      <c r="S59" s="6"/>
      <c r="T59" s="3"/>
      <c r="U59" s="22"/>
      <c r="V59" s="26"/>
      <c r="Y59" s="126"/>
      <c r="Z59" s="126"/>
      <c r="AA59" s="126"/>
      <c r="AB59" s="139"/>
      <c r="AC59" s="126"/>
      <c r="AD59" s="126"/>
      <c r="AE59" s="126"/>
      <c r="AF59" s="128"/>
    </row>
    <row r="60" spans="1:32" s="110" customFormat="1" ht="15" customHeight="1">
      <c r="A60" s="77" t="s">
        <v>1230</v>
      </c>
      <c r="B60" s="48">
        <f aca="true" t="shared" si="37" ref="B60:H60">SUM(B58:B59)</f>
        <v>350</v>
      </c>
      <c r="C60" s="13">
        <f t="shared" si="37"/>
        <v>0</v>
      </c>
      <c r="D60" s="13">
        <f t="shared" si="37"/>
        <v>0</v>
      </c>
      <c r="E60" s="13">
        <f t="shared" si="37"/>
        <v>0</v>
      </c>
      <c r="F60" s="13">
        <f t="shared" si="37"/>
        <v>0</v>
      </c>
      <c r="G60" s="13">
        <f t="shared" si="37"/>
        <v>-24</v>
      </c>
      <c r="H60" s="45">
        <f t="shared" si="37"/>
        <v>326</v>
      </c>
      <c r="I60" s="56"/>
      <c r="J60" s="40">
        <f>SUM(J58:J59)</f>
        <v>312370.85</v>
      </c>
      <c r="K60" s="27">
        <f>J60/(H60*1000)</f>
        <v>0.9581927914110429</v>
      </c>
      <c r="L60" s="7"/>
      <c r="M60" s="13">
        <f aca="true" t="shared" si="38" ref="M60:R60">SUM(M58:M59)</f>
        <v>0</v>
      </c>
      <c r="N60" s="13">
        <f t="shared" si="38"/>
        <v>0</v>
      </c>
      <c r="O60" s="13">
        <f t="shared" si="38"/>
        <v>0</v>
      </c>
      <c r="P60" s="13">
        <f t="shared" si="38"/>
        <v>0</v>
      </c>
      <c r="Q60" s="13">
        <f t="shared" si="38"/>
        <v>0</v>
      </c>
      <c r="R60" s="13">
        <f t="shared" si="38"/>
        <v>0</v>
      </c>
      <c r="S60" s="13">
        <f>SUM(S58:S59)</f>
        <v>0</v>
      </c>
      <c r="T60" s="56"/>
      <c r="U60" s="40">
        <f>SUM(U58:U59)</f>
        <v>0</v>
      </c>
      <c r="V60" s="70"/>
      <c r="Y60" s="126"/>
      <c r="Z60" s="126"/>
      <c r="AA60" s="126"/>
      <c r="AB60" s="133"/>
      <c r="AC60" s="126"/>
      <c r="AD60" s="126"/>
      <c r="AE60" s="126"/>
      <c r="AF60" s="128"/>
    </row>
    <row r="61" spans="1:32" s="106" customFormat="1" ht="12.75" hidden="1">
      <c r="A61" s="37" t="s">
        <v>1255</v>
      </c>
      <c r="B61" s="75"/>
      <c r="C61" s="52"/>
      <c r="D61" s="52"/>
      <c r="E61" s="52"/>
      <c r="F61" s="52"/>
      <c r="G61" s="52"/>
      <c r="H61" s="52">
        <f aca="true" t="shared" si="39" ref="H61:H66">SUM(B61:G61)</f>
        <v>0</v>
      </c>
      <c r="I61" s="3"/>
      <c r="J61" s="7"/>
      <c r="K61" s="26"/>
      <c r="L61" s="7"/>
      <c r="M61" s="8"/>
      <c r="N61" s="8"/>
      <c r="O61" s="8"/>
      <c r="P61" s="8"/>
      <c r="Q61" s="8"/>
      <c r="R61" s="8"/>
      <c r="S61" s="46">
        <f>SUM(M61:R61)</f>
        <v>0</v>
      </c>
      <c r="T61" s="53" t="s">
        <v>1170</v>
      </c>
      <c r="U61" s="22"/>
      <c r="V61" s="26"/>
      <c r="Y61" s="126"/>
      <c r="Z61" s="126"/>
      <c r="AA61" s="126"/>
      <c r="AB61" s="139"/>
      <c r="AC61" s="126"/>
      <c r="AD61" s="126"/>
      <c r="AE61" s="126"/>
      <c r="AF61" s="128"/>
    </row>
    <row r="62" spans="1:32" s="106" customFormat="1" ht="21.75">
      <c r="A62" s="37" t="s">
        <v>1295</v>
      </c>
      <c r="B62" s="8">
        <f>(5000-2000-3000)+2012/2012*5000</f>
        <v>5000</v>
      </c>
      <c r="C62" s="46">
        <f>99/99*(2530.1-369)</f>
        <v>2161.1</v>
      </c>
      <c r="D62" s="46">
        <f>(2963-4631)+48</f>
        <v>-1620</v>
      </c>
      <c r="E62" s="46">
        <f>-83+1078/1078*3200</f>
        <v>3117</v>
      </c>
      <c r="F62" s="46"/>
      <c r="G62" s="46">
        <f>(139+308.9)+25-2880+25.1*0</f>
        <v>-2407.1</v>
      </c>
      <c r="H62" s="46">
        <f t="shared" si="39"/>
        <v>6251</v>
      </c>
      <c r="I62" s="3"/>
      <c r="J62" s="7">
        <f>(4/4)*(2/2*1078/1078*(14400*0+4/4*139276*0+10/10*146276*0+12/12*6380543)+10712/10712*(4/4*48000*0+12/12*73500)+(4/4*17300*0+5/5*32464.1*0+9/9*37464.1*0+10/10*52464.1*0+12/12*67464.1))</f>
        <v>6521507.1</v>
      </c>
      <c r="K62" s="26">
        <f aca="true" t="shared" si="40" ref="K62:K69">J62/(H62*1000)</f>
        <v>1.0432742121260599</v>
      </c>
      <c r="L62" s="7"/>
      <c r="M62" s="8">
        <f>12000*0+(10000*0+(1350*12-16200)*0+(87694-66438)-21256/2+1372)</f>
        <v>12000</v>
      </c>
      <c r="N62" s="8"/>
      <c r="O62" s="8">
        <v>-12000</v>
      </c>
      <c r="P62" s="8"/>
      <c r="Q62" s="8"/>
      <c r="R62" s="8"/>
      <c r="S62" s="46">
        <f>SUM(M62:R62)</f>
        <v>0</v>
      </c>
      <c r="T62" s="53" t="s">
        <v>1170</v>
      </c>
      <c r="U62" s="22"/>
      <c r="V62" s="26"/>
      <c r="Y62" s="130">
        <f>J62</f>
        <v>6521507.1</v>
      </c>
      <c r="Z62" s="143">
        <f>461/461*(60334.42*0+102171.08)+5/5*(115977.66*0+239516.93)+1061/1061*379551.1*0+452419.76+1065/1065*163912.44*0+189643.56+1069/1069*167453.77*0+280924.41+1074/1074*191912.76*0+211501.02+1078/1078*38678.14*0+265541.14+1080/1080*200602.48*0+417217.67+1100/1100*968188.75*0+1283412.95+1111/1111*224325+102/102*24220.4+1251/1251*138888.4*0+139997.6+1517/1517*97045.71*0+112810.98+4520/4520*9963.27*0+9986+1522/1522*122146.04*0+143741.94+1600/1600*1447344.38*0+1836841.2</f>
        <v>5934271.64</v>
      </c>
      <c r="AA62" s="132">
        <f>Y62+Z62</f>
        <v>12455778.739999998</v>
      </c>
      <c r="AB62" s="144"/>
      <c r="AC62" s="130">
        <f>U62</f>
        <v>0</v>
      </c>
      <c r="AD62" s="143">
        <f>1061/1061*1305+1074/1074*200000+1078/1078*3430+1100/1100*307952+1251/1251*115234+1517/1517*2044+4520/4520*71083.32*0+83624.98+1522/1522*8914+1600/1600*(78500*0+95000)+107/107*9669959+8/8*1370979+9/9*1372357+10/10*1492959+1112/1112*2992018</f>
        <v>17715775.98</v>
      </c>
      <c r="AE62" s="132">
        <f>AC62+AD62</f>
        <v>17715775.98</v>
      </c>
      <c r="AF62" s="129">
        <f>AE62-AA62</f>
        <v>5259997.240000002</v>
      </c>
    </row>
    <row r="63" spans="1:32" s="106" customFormat="1" ht="21.75" customHeight="1">
      <c r="A63" s="37" t="s">
        <v>1296</v>
      </c>
      <c r="B63" s="75"/>
      <c r="C63" s="75"/>
      <c r="D63" s="52">
        <f>7/7*99/99*1500</f>
        <v>1500</v>
      </c>
      <c r="E63" s="52">
        <f>83</f>
        <v>83</v>
      </c>
      <c r="F63" s="52">
        <v>176</v>
      </c>
      <c r="G63" s="52">
        <v>81</v>
      </c>
      <c r="H63" s="52">
        <f t="shared" si="39"/>
        <v>1840</v>
      </c>
      <c r="I63" s="3"/>
      <c r="J63" s="7">
        <f>42012/42012*(3/3*701888*0+4/4*706125.2*0+5/5*1057069.2*0+6/6*1583485.2*0+9/9*1758957.2*0+10/10*1840066.2)</f>
        <v>1840066.2</v>
      </c>
      <c r="K63" s="26">
        <f t="shared" si="40"/>
        <v>1.0000359782608694</v>
      </c>
      <c r="L63" s="7"/>
      <c r="M63" s="8"/>
      <c r="N63" s="8"/>
      <c r="O63" s="8"/>
      <c r="P63" s="8"/>
      <c r="Q63" s="8"/>
      <c r="R63" s="8"/>
      <c r="S63" s="46"/>
      <c r="T63" s="53"/>
      <c r="U63" s="22"/>
      <c r="V63" s="26"/>
      <c r="Y63" s="130">
        <f>J63</f>
        <v>1840066.2</v>
      </c>
      <c r="Z63" s="130"/>
      <c r="AA63" s="132">
        <f>Y63+Z63</f>
        <v>1840066.2</v>
      </c>
      <c r="AB63" s="144"/>
      <c r="AC63" s="130">
        <f>U63</f>
        <v>0</v>
      </c>
      <c r="AD63" s="130"/>
      <c r="AE63" s="132">
        <f>AC63+AD63</f>
        <v>0</v>
      </c>
      <c r="AF63" s="129">
        <f>AE63-AA63</f>
        <v>-1840066.2</v>
      </c>
    </row>
    <row r="64" spans="1:32" s="106" customFormat="1" ht="12.75">
      <c r="A64" s="37" t="s">
        <v>1272</v>
      </c>
      <c r="B64" s="75"/>
      <c r="C64" s="52"/>
      <c r="D64" s="52">
        <f>30+90</f>
        <v>120</v>
      </c>
      <c r="E64" s="52"/>
      <c r="F64" s="52"/>
      <c r="G64" s="52">
        <v>31</v>
      </c>
      <c r="H64" s="52">
        <f t="shared" si="39"/>
        <v>151</v>
      </c>
      <c r="I64" s="3"/>
      <c r="J64" s="7">
        <f>(4/4)*(3632/3632*(2/2*1359*0+12/12*8260.38)+3639/3639*(3/3*118837*0+8/8*149919))+5/5*(2/2*1200)</f>
        <v>159379.38</v>
      </c>
      <c r="K64" s="26">
        <f t="shared" si="40"/>
        <v>1.055492582781457</v>
      </c>
      <c r="L64" s="7"/>
      <c r="M64" s="8"/>
      <c r="N64" s="8"/>
      <c r="O64" s="8"/>
      <c r="P64" s="8"/>
      <c r="Q64" s="8"/>
      <c r="R64" s="8"/>
      <c r="S64" s="46"/>
      <c r="T64" s="53"/>
      <c r="U64" s="22"/>
      <c r="V64" s="26"/>
      <c r="Y64" s="130">
        <f>J64</f>
        <v>159379.38</v>
      </c>
      <c r="Z64" s="130"/>
      <c r="AA64" s="132">
        <f>Y64+Z64</f>
        <v>159379.38</v>
      </c>
      <c r="AB64" s="144"/>
      <c r="AC64" s="130">
        <f>U64</f>
        <v>0</v>
      </c>
      <c r="AD64" s="130"/>
      <c r="AE64" s="132">
        <f>AC64+AD64</f>
        <v>0</v>
      </c>
      <c r="AF64" s="129">
        <f>AE64-AA64</f>
        <v>-159379.38</v>
      </c>
    </row>
    <row r="65" spans="1:32" s="106" customFormat="1" ht="12.75">
      <c r="A65" s="37" t="s">
        <v>1285</v>
      </c>
      <c r="B65" s="75"/>
      <c r="C65" s="52"/>
      <c r="D65" s="52"/>
      <c r="E65" s="52">
        <f>340</f>
        <v>340</v>
      </c>
      <c r="F65" s="52"/>
      <c r="G65" s="52"/>
      <c r="H65" s="52">
        <f t="shared" si="39"/>
        <v>340</v>
      </c>
      <c r="I65" s="3"/>
      <c r="J65" s="7">
        <f>6/6*(84700*0)+8/8*340000*(8+10/10*(9/9+(10/10+11/11+12/12)))/12+33.33333*0*12/12</f>
        <v>340000</v>
      </c>
      <c r="K65" s="26">
        <f t="shared" si="40"/>
        <v>1</v>
      </c>
      <c r="L65" s="7"/>
      <c r="M65" s="8"/>
      <c r="N65" s="8"/>
      <c r="O65" s="8"/>
      <c r="P65" s="8"/>
      <c r="Q65" s="8"/>
      <c r="R65" s="8"/>
      <c r="S65" s="46"/>
      <c r="T65" s="53"/>
      <c r="U65" s="22"/>
      <c r="V65" s="26"/>
      <c r="Y65" s="130">
        <f>J65</f>
        <v>340000</v>
      </c>
      <c r="Z65" s="130"/>
      <c r="AA65" s="132">
        <f>Y65+Z65</f>
        <v>340000</v>
      </c>
      <c r="AB65" s="144"/>
      <c r="AC65" s="130">
        <f>U65</f>
        <v>0</v>
      </c>
      <c r="AD65" s="130"/>
      <c r="AE65" s="132">
        <f>AC65+AD65</f>
        <v>0</v>
      </c>
      <c r="AF65" s="129">
        <f>AE65-AA65</f>
        <v>-340000</v>
      </c>
    </row>
    <row r="66" spans="1:32" s="106" customFormat="1" ht="12" customHeight="1">
      <c r="A66" s="37" t="s">
        <v>1167</v>
      </c>
      <c r="B66" s="8">
        <f>(6000*0+6300)*(1.05*0+1.1*0+1.15)-315*0-630*0+55-1000*0</f>
        <v>7299.999999999999</v>
      </c>
      <c r="C66" s="46"/>
      <c r="D66" s="46"/>
      <c r="E66" s="46"/>
      <c r="F66" s="46">
        <f>711/711*600</f>
        <v>600</v>
      </c>
      <c r="G66" s="46"/>
      <c r="H66" s="46">
        <f t="shared" si="39"/>
        <v>7899.999999999999</v>
      </c>
      <c r="I66" s="3"/>
      <c r="J66" s="7">
        <f>7300000/12*(1/1+2/2+(3/3+4/4)+5/5+6/6+7/7+8/8+(9/9+(10/10+11/11+12/12)))+10/10*(340000*(11+12/12)/12+333.3333*0*12/12)+((2+2+5/5)*0*8/8+6/6+7/7+8/8)*1666.6667*0*12/12+(8/8+(9/9+(10/10+11/11+12/12*0-11*0)))*333.3333*0+600000-J65</f>
        <v>7900000</v>
      </c>
      <c r="K66" s="26">
        <f t="shared" si="40"/>
        <v>1.0000000000000002</v>
      </c>
      <c r="L66" s="7"/>
      <c r="M66" s="8"/>
      <c r="N66" s="8"/>
      <c r="O66" s="8"/>
      <c r="P66" s="8"/>
      <c r="Q66" s="8"/>
      <c r="R66" s="8"/>
      <c r="S66" s="46">
        <f>SUM(M66:R66)</f>
        <v>0</v>
      </c>
      <c r="T66" s="53" t="s">
        <v>1170</v>
      </c>
      <c r="U66" s="22"/>
      <c r="V66" s="26"/>
      <c r="Y66" s="130">
        <f>J66</f>
        <v>7900000</v>
      </c>
      <c r="Z66" s="130"/>
      <c r="AA66" s="132">
        <f>Y66+Z66</f>
        <v>7900000</v>
      </c>
      <c r="AB66" s="144"/>
      <c r="AC66" s="130">
        <f>U66</f>
        <v>0</v>
      </c>
      <c r="AD66" s="130"/>
      <c r="AE66" s="132">
        <f>AC66+AD66</f>
        <v>0</v>
      </c>
      <c r="AF66" s="129">
        <f>AE66-AA66</f>
        <v>-7900000</v>
      </c>
    </row>
    <row r="67" spans="1:32" s="110" customFormat="1" ht="15" customHeight="1">
      <c r="A67" s="77" t="s">
        <v>1225</v>
      </c>
      <c r="B67" s="48">
        <f aca="true" t="shared" si="41" ref="B67:H67">SUM(B61:B66)</f>
        <v>12300</v>
      </c>
      <c r="C67" s="13">
        <f t="shared" si="41"/>
        <v>2161.1</v>
      </c>
      <c r="D67" s="13">
        <f t="shared" si="41"/>
        <v>0</v>
      </c>
      <c r="E67" s="13">
        <f t="shared" si="41"/>
        <v>3540</v>
      </c>
      <c r="F67" s="13">
        <f t="shared" si="41"/>
        <v>776</v>
      </c>
      <c r="G67" s="13">
        <f t="shared" si="41"/>
        <v>-2295.1</v>
      </c>
      <c r="H67" s="13">
        <f t="shared" si="41"/>
        <v>16482</v>
      </c>
      <c r="I67" s="56"/>
      <c r="J67" s="109">
        <f>SUM(J61:J66)</f>
        <v>16760952.68</v>
      </c>
      <c r="K67" s="27">
        <f t="shared" si="40"/>
        <v>1.0169246863244752</v>
      </c>
      <c r="L67" s="7"/>
      <c r="M67" s="13">
        <f aca="true" t="shared" si="42" ref="M67:R67">SUM(M61:M66)</f>
        <v>12000</v>
      </c>
      <c r="N67" s="13">
        <f t="shared" si="42"/>
        <v>0</v>
      </c>
      <c r="O67" s="13">
        <f t="shared" si="42"/>
        <v>-12000</v>
      </c>
      <c r="P67" s="13">
        <f t="shared" si="42"/>
        <v>0</v>
      </c>
      <c r="Q67" s="13">
        <f t="shared" si="42"/>
        <v>0</v>
      </c>
      <c r="R67" s="13">
        <f t="shared" si="42"/>
        <v>0</v>
      </c>
      <c r="S67" s="13">
        <f>SUM(S61:S66)</f>
        <v>0</v>
      </c>
      <c r="T67" s="56"/>
      <c r="U67" s="40">
        <f>SUM(U61:U66)</f>
        <v>0</v>
      </c>
      <c r="V67" s="70"/>
      <c r="Y67" s="126"/>
      <c r="Z67" s="126"/>
      <c r="AA67" s="126"/>
      <c r="AB67" s="144"/>
      <c r="AC67" s="126"/>
      <c r="AD67" s="126"/>
      <c r="AE67" s="126"/>
      <c r="AF67" s="128"/>
    </row>
    <row r="68" spans="1:32" s="106" customFormat="1" ht="12.75">
      <c r="A68" s="37" t="s">
        <v>1314</v>
      </c>
      <c r="B68" s="8">
        <f>2276*1.025+0.1-2333+175*12*(1.09-0.09)+50+150-2300*0</f>
        <v>2299.9999999999995</v>
      </c>
      <c r="C68" s="46">
        <f>12/12*98/98*200</f>
        <v>200</v>
      </c>
      <c r="D68" s="46">
        <f>6/6*80+(6+80+2)</f>
        <v>168</v>
      </c>
      <c r="E68" s="46"/>
      <c r="F68" s="46">
        <f>6115/6115*38</f>
        <v>38</v>
      </c>
      <c r="G68" s="46">
        <v>-114.9</v>
      </c>
      <c r="H68" s="46">
        <f aca="true" t="shared" si="43" ref="H68:H98">SUM(B68:G68)</f>
        <v>2591.0999999999995</v>
      </c>
      <c r="I68" s="3"/>
      <c r="J68" s="7">
        <f>(3/3)*(2/2*166883*0+3/3*333766*0+4/4*506449*0+5/5*655295*0+6/6*800262*0+7/7*986481*0+8/8*1153364*0+9/9*1302211*0+10/10*1487094*0+12/12*1986205)+(10/10)*((47759*0+3/3*85451*0+4/4*111522*0+5/5*112759*0+6/6*113509*0+8/8*(118539*0+9/9*119486*0+10/10*125948*0+12/12*(211011.2+6115/6115*37800)+107/107*7112))+1802/1802*5367)</f>
        <v>2247495.2</v>
      </c>
      <c r="K68" s="26">
        <f t="shared" si="40"/>
        <v>0.8673903747443173</v>
      </c>
      <c r="L68" s="31" t="s">
        <v>1194</v>
      </c>
      <c r="M68" s="8">
        <v>100</v>
      </c>
      <c r="N68" s="8"/>
      <c r="O68" s="8"/>
      <c r="P68" s="8"/>
      <c r="Q68" s="8"/>
      <c r="R68" s="8"/>
      <c r="S68" s="100">
        <f aca="true" t="shared" si="44" ref="S68:S98">SUM(M68:R68)</f>
        <v>100</v>
      </c>
      <c r="T68" s="53" t="s">
        <v>1170</v>
      </c>
      <c r="U68" s="22">
        <f>3/3*(15138.27+38.78)+6/6*(8195.98+38.69)+9/9*(25418.01+39.02)+12/12*((19707.78-155.42)+155.42)</f>
        <v>68576.53</v>
      </c>
      <c r="V68" s="26">
        <f>U68/(S68*1000)</f>
        <v>0.6857653</v>
      </c>
      <c r="Y68" s="130">
        <f>J68</f>
        <v>2247495.2</v>
      </c>
      <c r="Z68" s="130"/>
      <c r="AA68" s="132">
        <f>Y68+Z68</f>
        <v>2247495.2</v>
      </c>
      <c r="AB68" s="145" t="s">
        <v>1194</v>
      </c>
      <c r="AC68" s="164">
        <f>U68</f>
        <v>68576.53</v>
      </c>
      <c r="AD68" s="130"/>
      <c r="AE68" s="132">
        <f>AC68+AD68</f>
        <v>68576.53</v>
      </c>
      <c r="AF68" s="129">
        <f>AE68-AA68</f>
        <v>-2178918.6700000004</v>
      </c>
    </row>
    <row r="69" spans="1:32" s="106" customFormat="1" ht="24">
      <c r="A69" s="37" t="s">
        <v>1315</v>
      </c>
      <c r="B69" s="75">
        <f>47914*0+2012/2012*(48688+150)-B74-B79-B80-B82-B92</f>
        <v>48688</v>
      </c>
      <c r="C69" s="52"/>
      <c r="D69" s="52">
        <f>1/1*(2058-1938-81/81*120)+2/2*(355-548)+3/3*((37056.8-(565+140.5+50.3+2)-38653)+60+(656-1313))+(543-357)</f>
        <v>-2958</v>
      </c>
      <c r="E69" s="52">
        <f>3/3*(-3606-98216/98216*(174+42.5+15.5)+(1000+100))+4/4*(-500-200-1500+101)+10/10*(364+6125/6125*(36+21+150))</f>
        <v>-4266</v>
      </c>
      <c r="F69" s="52">
        <f>1/1*(-137-573+40+5+7)+2/2*(27+9+27+11*0)+3/3*(390+13+35)+4/4*(-24+157-24-8-95+584+60-160-79+2/2*(-17+7)*0)+5/5*(9+8-17)+6/6*(-9+3+3)+10/10*(-285-424+78+78-27+190+114-36+29+12+14+42-20)</f>
        <v>16</v>
      </c>
      <c r="G69" s="52">
        <f>11+9+6112/6112*(5.1+7+4)+12/12*1041.9</f>
        <v>1078</v>
      </c>
      <c r="H69" s="52">
        <f t="shared" si="43"/>
        <v>42558</v>
      </c>
      <c r="I69" s="3"/>
      <c r="J69" s="7">
        <f>(((1/1)*(12/12*619759.68-81/81*83380+2009/2009*13000)+2604/2604*10920+(804*0+2804/2804*7864)+652/652*35357)+(2/2)*(12/12*387729)+(3/3)*((12/12*28345441.55-(1677174.37*0+1705538.37)+2011/2011*59520)+3/3*12/12*1135712+5011/5011*-5900+2709/2709*(492300*0+(562300+7/7*71000+10/10*(12000+1000000)+12/12*(2500+30000))))+(4/4)*(12/12*1364421.55-4525.33-61/61*(10/10*194000*0+12/12*463393)+1/1*(9/9*343452*0+10/10*446172)+1600/1600*(8/8*147206.6*0+9/9*149345*0+12/12*(638557.6-61/61*583999))+6125/6125*7/7*36938)+5/5*(10/10*62770.2*0+12/12*(145020-(106158.5*0+76534.17))+2011/2011*-6150+2778/2778*23500*0))+6/6*(9/9*89851*0+10/10*129285*0+12/12*146011)+7/7*(9/9*11648*0+10/10*16988*0+12/12*19348)+10/10*((5/5*(8/8*2187639.8*0+9/9*2433730.8*0+12/12*(3505572.4-6111/6111*279467-6122/6122*261124-6125/6125*47245)+6125/6125*7/7*205319*0+12/12*345915)))-J74-J79-(J80*6/6*(0+6/6)-0*12/12)+(-J121*0-6/6*(J133-0))-7314*11/11*(0*12/12)+5609.13*0+6/6*26988+1508901.08+(8/8*442700.92+9/9*263353.56)+(911836.89-171213)+551067.62</f>
        <v>11867824.609999998</v>
      </c>
      <c r="K69" s="26">
        <f t="shared" si="40"/>
        <v>0.2788623668875416</v>
      </c>
      <c r="L69" s="7"/>
      <c r="M69" s="8"/>
      <c r="N69" s="8"/>
      <c r="O69" s="8"/>
      <c r="P69" s="8"/>
      <c r="Q69" s="8"/>
      <c r="R69" s="8"/>
      <c r="S69" s="46">
        <f t="shared" si="44"/>
        <v>0</v>
      </c>
      <c r="T69" s="53" t="s">
        <v>1170</v>
      </c>
      <c r="U69" s="22"/>
      <c r="V69" s="26"/>
      <c r="Y69" s="164">
        <f>J69</f>
        <v>11867824.609999998</v>
      </c>
      <c r="Z69" s="130"/>
      <c r="AA69" s="132">
        <f>Y69+Z69</f>
        <v>11867824.609999998</v>
      </c>
      <c r="AB69" s="144"/>
      <c r="AC69" s="130">
        <f>U69</f>
        <v>0</v>
      </c>
      <c r="AD69" s="130"/>
      <c r="AE69" s="132">
        <f>AC69+AD69</f>
        <v>0</v>
      </c>
      <c r="AF69" s="129">
        <f>AE69-AA69</f>
        <v>-11867824.609999998</v>
      </c>
    </row>
    <row r="70" spans="1:32" s="106" customFormat="1" ht="12.75" hidden="1">
      <c r="A70" s="59">
        <f>2011/2011*(48725*1.025-43.125-49900)+2012/2012*(47914*1.015-32.7)-98116/98116*(12*((24.79+24.01+21.37+22.09+20.09)-0.35-112*0-1344*0)*(1+0.09+0.25)+0.05+1801*0-732/732*210/2*0-1)-46800+(1/1*(899+200)+2/2*(552-92))+3/3*(41901-835+377-712+99-308+36-4068)+4/4*(7471+94+44-343+3000*0+1000*0+90+2000*0-1500)+5/5*111+6/6*152+7/7*32+10/10*(6059-1571)</f>
        <v>48687.999999999985</v>
      </c>
      <c r="B70" s="75"/>
      <c r="C70" s="52"/>
      <c r="D70" s="52"/>
      <c r="E70" s="52"/>
      <c r="F70" s="52"/>
      <c r="G70" s="52"/>
      <c r="H70" s="52"/>
      <c r="I70" s="3"/>
      <c r="J70" s="7"/>
      <c r="K70" s="26"/>
      <c r="L70" s="12">
        <f>2/2*(6171/6171*4468485.09+6112/6112*245009)-(J99+J121+J122+J123+(J133-140000*0*2011/2011)+J138)</f>
        <v>-41388811.620000005</v>
      </c>
      <c r="M70" s="8"/>
      <c r="N70" s="8"/>
      <c r="O70" s="8"/>
      <c r="P70" s="8"/>
      <c r="Q70" s="8"/>
      <c r="R70" s="8"/>
      <c r="S70" s="46"/>
      <c r="T70" s="53"/>
      <c r="U70" s="22"/>
      <c r="V70" s="26"/>
      <c r="Y70" s="165"/>
      <c r="Z70" s="126"/>
      <c r="AA70" s="126"/>
      <c r="AB70" s="144"/>
      <c r="AC70" s="126"/>
      <c r="AD70" s="126"/>
      <c r="AE70" s="126"/>
      <c r="AF70" s="128"/>
    </row>
    <row r="71" spans="1:32" s="106" customFormat="1" ht="12.75" customHeight="1" hidden="1">
      <c r="A71" s="329" t="s">
        <v>1265</v>
      </c>
      <c r="B71" s="330"/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8"/>
      <c r="N71" s="8"/>
      <c r="O71" s="8"/>
      <c r="P71" s="8"/>
      <c r="Q71" s="8"/>
      <c r="R71" s="8"/>
      <c r="S71" s="46"/>
      <c r="T71" s="53"/>
      <c r="U71" s="22"/>
      <c r="V71" s="26"/>
      <c r="Y71" s="165"/>
      <c r="Z71" s="126"/>
      <c r="AA71" s="126"/>
      <c r="AB71" s="144"/>
      <c r="AC71" s="126"/>
      <c r="AD71" s="126"/>
      <c r="AE71" s="126"/>
      <c r="AF71" s="128"/>
    </row>
    <row r="72" spans="1:32" s="106" customFormat="1" ht="18" customHeight="1">
      <c r="A72" s="37" t="s">
        <v>1241</v>
      </c>
      <c r="B72" s="75"/>
      <c r="C72" s="52"/>
      <c r="D72" s="52"/>
      <c r="E72" s="52"/>
      <c r="F72" s="52"/>
      <c r="G72" s="52"/>
      <c r="H72" s="52"/>
      <c r="I72" s="3"/>
      <c r="J72" s="7">
        <f>(-(J75+J76)-J77-(J80-5240.37)-J78)-4355436.37*0</f>
        <v>-5995573</v>
      </c>
      <c r="K72" s="26"/>
      <c r="L72" s="7"/>
      <c r="M72" s="8"/>
      <c r="N72" s="8"/>
      <c r="O72" s="8"/>
      <c r="P72" s="8"/>
      <c r="Q72" s="8"/>
      <c r="R72" s="8"/>
      <c r="S72" s="46"/>
      <c r="T72" s="53"/>
      <c r="U72" s="22"/>
      <c r="V72" s="26"/>
      <c r="Y72" s="164">
        <f>J72</f>
        <v>-5995573</v>
      </c>
      <c r="Z72" s="130"/>
      <c r="AA72" s="132">
        <f>Y72+Z72</f>
        <v>-5995573</v>
      </c>
      <c r="AB72" s="144"/>
      <c r="AC72" s="130">
        <f>U72</f>
        <v>0</v>
      </c>
      <c r="AD72" s="130"/>
      <c r="AE72" s="132">
        <f>AC72+AD72</f>
        <v>0</v>
      </c>
      <c r="AF72" s="129">
        <f>AE72-AA72</f>
        <v>5995573</v>
      </c>
    </row>
    <row r="73" spans="1:32" s="106" customFormat="1" ht="12.75">
      <c r="A73" s="37"/>
      <c r="B73" s="75"/>
      <c r="C73" s="52"/>
      <c r="D73" s="52"/>
      <c r="E73" s="52"/>
      <c r="F73" s="52"/>
      <c r="G73" s="52"/>
      <c r="H73" s="52"/>
      <c r="I73" s="3"/>
      <c r="J73" s="7">
        <f>(((8/8*(11465160+3/3*733897+126063+3292217+1216023)*0+9/9*(12929074+3/3*843079+139639+3735251+1379508)-J79-J80*0-(J81+2136.04)*0-J82*0-J77*0-6/6*(466771*0+569792*(1+0.09+0.25))*0+8/8*(940187-714807)*0-6481419*0-7178283.1)-403823.99)*0+911836.89)*0</f>
        <v>0</v>
      </c>
      <c r="K73" s="26"/>
      <c r="L73" s="7"/>
      <c r="M73" s="8"/>
      <c r="N73" s="8"/>
      <c r="O73" s="8"/>
      <c r="P73" s="8"/>
      <c r="Q73" s="8"/>
      <c r="R73" s="8"/>
      <c r="S73" s="46"/>
      <c r="T73" s="53"/>
      <c r="U73" s="22"/>
      <c r="V73" s="26"/>
      <c r="Y73" s="164">
        <f>J73</f>
        <v>0</v>
      </c>
      <c r="Z73" s="130"/>
      <c r="AA73" s="132">
        <f>Y73+Z73</f>
        <v>0</v>
      </c>
      <c r="AB73" s="144"/>
      <c r="AC73" s="130">
        <f>U73</f>
        <v>0</v>
      </c>
      <c r="AD73" s="130"/>
      <c r="AE73" s="132">
        <f>AC73+AD73</f>
        <v>0</v>
      </c>
      <c r="AF73" s="129">
        <f>AE73-AA73</f>
        <v>0</v>
      </c>
    </row>
    <row r="74" spans="1:32" s="106" customFormat="1" ht="12.75" customHeight="1">
      <c r="A74" s="37" t="s">
        <v>1348</v>
      </c>
      <c r="B74" s="75">
        <f>(9006+51)+(2351+6112/6112*401)+(847+6112/6112*195)-12851</f>
        <v>0</v>
      </c>
      <c r="C74" s="52"/>
      <c r="D74" s="52"/>
      <c r="E74" s="52"/>
      <c r="F74" s="52"/>
      <c r="G74" s="52"/>
      <c r="H74" s="52">
        <f t="shared" si="43"/>
        <v>0</v>
      </c>
      <c r="I74" s="3"/>
      <c r="J74" s="7">
        <f>(2/2*(1545531+8661+441347+162731)*0+3/3*((3199948-98216/98216*306770*0)+3/3*133142+17322+(894934-98216/98216*55510*0)+(329864-98216/98216*16846*0)+(1835332-1814451))*0+4/4*(5171266+30483+1448186+532877)*0+5/5*(5854276-98216/98216*405560*0+60079+1670768-101374*0+616791-36520*0)*0+6/6*(6923355+72955+1986634+2113759)*0+7/7*(8928099+87691+2550685+941431)*0+7/7*(10327923+109877+2957996+1091895)*0+8/8*(11465160+3/3*733897+126063+3292217+1216023)*0+9/9*(12929074+3/3*843079+139639+3735251+1379508)*0+12/12*(22465131+170369+2007888+5574696)*0-(J79+11444443.91*0)-((J81+1677174.37*0)+2136.04)*0-6/6*(466771*0+569792*(1+0.09+0.25)*0*10/10)+8/8*(940187-714807)*0-19026551*0)+12/12*(17176238+163662+5028619+1856344+3/3*1135712)</f>
        <v>9729018</v>
      </c>
      <c r="K74" s="26"/>
      <c r="L74" s="7"/>
      <c r="M74" s="8"/>
      <c r="N74" s="8"/>
      <c r="O74" s="8"/>
      <c r="P74" s="8"/>
      <c r="Q74" s="8"/>
      <c r="R74" s="8"/>
      <c r="S74" s="46">
        <f t="shared" si="44"/>
        <v>0</v>
      </c>
      <c r="T74" s="53" t="s">
        <v>1170</v>
      </c>
      <c r="U74" s="22"/>
      <c r="V74" s="26"/>
      <c r="Y74" s="164">
        <f>J74</f>
        <v>9729018</v>
      </c>
      <c r="Z74" s="130"/>
      <c r="AA74" s="132">
        <f>Y74+Z74</f>
        <v>9729018</v>
      </c>
      <c r="AB74" s="144"/>
      <c r="AC74" s="130">
        <f>U74</f>
        <v>0</v>
      </c>
      <c r="AD74" s="130"/>
      <c r="AE74" s="132">
        <f>AC74+AD74</f>
        <v>0</v>
      </c>
      <c r="AF74" s="129">
        <f>AE74-AA74</f>
        <v>-9729018</v>
      </c>
    </row>
    <row r="75" spans="1:32" s="106" customFormat="1" ht="12.75" customHeight="1" hidden="1">
      <c r="A75" s="37" t="s">
        <v>1242</v>
      </c>
      <c r="B75" s="75"/>
      <c r="C75" s="52"/>
      <c r="D75" s="52"/>
      <c r="E75" s="52"/>
      <c r="F75" s="52"/>
      <c r="G75" s="52"/>
      <c r="H75" s="52"/>
      <c r="I75" s="3"/>
      <c r="J75" s="7">
        <f>2/2*0</f>
        <v>0</v>
      </c>
      <c r="K75" s="26"/>
      <c r="L75" s="7"/>
      <c r="M75" s="8"/>
      <c r="N75" s="8"/>
      <c r="O75" s="8"/>
      <c r="P75" s="8"/>
      <c r="Q75" s="8"/>
      <c r="R75" s="8"/>
      <c r="S75" s="46"/>
      <c r="T75" s="53"/>
      <c r="U75" s="22"/>
      <c r="V75" s="26"/>
      <c r="Y75" s="165"/>
      <c r="Z75" s="126"/>
      <c r="AA75" s="126"/>
      <c r="AB75" s="144"/>
      <c r="AC75" s="126"/>
      <c r="AD75" s="126"/>
      <c r="AE75" s="126"/>
      <c r="AF75" s="128"/>
    </row>
    <row r="76" spans="1:32" s="106" customFormat="1" ht="12.75" customHeight="1" hidden="1">
      <c r="A76" s="37" t="s">
        <v>1243</v>
      </c>
      <c r="B76" s="75"/>
      <c r="C76" s="52"/>
      <c r="D76" s="52"/>
      <c r="E76" s="52"/>
      <c r="F76" s="52"/>
      <c r="G76" s="52"/>
      <c r="H76" s="52"/>
      <c r="I76" s="3"/>
      <c r="J76" s="7">
        <f>-(J123-0)</f>
        <v>0</v>
      </c>
      <c r="K76" s="26"/>
      <c r="L76" s="7"/>
      <c r="M76" s="8"/>
      <c r="N76" s="8"/>
      <c r="O76" s="8"/>
      <c r="P76" s="8"/>
      <c r="Q76" s="8"/>
      <c r="R76" s="8"/>
      <c r="S76" s="46"/>
      <c r="T76" s="53"/>
      <c r="U76" s="22"/>
      <c r="V76" s="26"/>
      <c r="Y76" s="165"/>
      <c r="Z76" s="126"/>
      <c r="AA76" s="126"/>
      <c r="AB76" s="144"/>
      <c r="AC76" s="126"/>
      <c r="AD76" s="126"/>
      <c r="AE76" s="126"/>
      <c r="AF76" s="128"/>
    </row>
    <row r="77" spans="1:32" s="106" customFormat="1" ht="12.75">
      <c r="A77" s="37" t="s">
        <v>1244</v>
      </c>
      <c r="B77" s="75"/>
      <c r="C77" s="52"/>
      <c r="D77" s="52"/>
      <c r="E77" s="52"/>
      <c r="F77" s="52"/>
      <c r="G77" s="52"/>
      <c r="H77" s="52"/>
      <c r="I77" s="3"/>
      <c r="J77" s="7">
        <f>((46090*0+(15025+31065))*(1/1+2/2)+3/3*(15544+32518))+4/4*((3840+11182)+(0+31068))+6/6*(12092+22916)+7/7*(16768+35271)+(8/8+9/9)*((11186+4065)+30839)+9/9*((12806+4065)+34839)-417269*0+10/10*((11188+4065+3240)+(30837+0+9000))+11/11*((11186+3839+1486+72)+(31063+0+4126))+12/12*((11186+4065)+(30839+0))</f>
        <v>573461</v>
      </c>
      <c r="K77" s="26"/>
      <c r="L77" s="7"/>
      <c r="M77" s="8"/>
      <c r="N77" s="8"/>
      <c r="O77" s="8"/>
      <c r="P77" s="8"/>
      <c r="Q77" s="8"/>
      <c r="R77" s="8"/>
      <c r="S77" s="46"/>
      <c r="T77" s="53"/>
      <c r="U77" s="22"/>
      <c r="V77" s="26"/>
      <c r="Y77" s="164">
        <f>J77</f>
        <v>573461</v>
      </c>
      <c r="Z77" s="130"/>
      <c r="AA77" s="132">
        <f>Y77+Z77</f>
        <v>573461</v>
      </c>
      <c r="AB77" s="144"/>
      <c r="AC77" s="130">
        <f>U77</f>
        <v>0</v>
      </c>
      <c r="AD77" s="130"/>
      <c r="AE77" s="132">
        <f>AC77+AD77</f>
        <v>0</v>
      </c>
      <c r="AF77" s="129">
        <f>AE77-AA77</f>
        <v>-573461</v>
      </c>
    </row>
    <row r="78" spans="1:32" s="106" customFormat="1" ht="12.75" customHeight="1">
      <c r="A78" s="37" t="s">
        <v>1278</v>
      </c>
      <c r="B78" s="75"/>
      <c r="C78" s="52"/>
      <c r="D78" s="52"/>
      <c r="E78" s="52"/>
      <c r="F78" s="52"/>
      <c r="G78" s="52"/>
      <c r="H78" s="52"/>
      <c r="I78" s="3"/>
      <c r="J78" s="7">
        <f>5/5*((413201+36914+102495)+(424789+37454+103933))+9/9*((426740+38134+105877)+(0))+10/10*(428732+37804+104920)-2260993*0+9101112/9101112*((321746+28679+79626)+6112/6112*(1695+4709)+(437118+38521+106913)+12269)+429545</f>
        <v>3721814</v>
      </c>
      <c r="K78" s="26"/>
      <c r="L78" s="7"/>
      <c r="M78" s="8"/>
      <c r="N78" s="8"/>
      <c r="O78" s="8"/>
      <c r="P78" s="8"/>
      <c r="Q78" s="8"/>
      <c r="R78" s="8"/>
      <c r="S78" s="46"/>
      <c r="T78" s="53"/>
      <c r="U78" s="22"/>
      <c r="V78" s="26"/>
      <c r="Y78" s="164">
        <f>J78</f>
        <v>3721814</v>
      </c>
      <c r="Z78" s="130"/>
      <c r="AA78" s="132">
        <f>Y78+Z78</f>
        <v>3721814</v>
      </c>
      <c r="AB78" s="144"/>
      <c r="AC78" s="130">
        <f>U78</f>
        <v>0</v>
      </c>
      <c r="AD78" s="130"/>
      <c r="AE78" s="132">
        <f>AC78+AD78</f>
        <v>0</v>
      </c>
      <c r="AF78" s="129">
        <f>AE78-AA78</f>
        <v>-3721814</v>
      </c>
    </row>
    <row r="79" spans="1:32" s="106" customFormat="1" ht="12.75" customHeight="1">
      <c r="A79" s="37" t="s">
        <v>1183</v>
      </c>
      <c r="B79" s="75">
        <f>12595+3149+1134-16878</f>
        <v>0</v>
      </c>
      <c r="C79" s="52"/>
      <c r="D79" s="52"/>
      <c r="E79" s="52"/>
      <c r="F79" s="52"/>
      <c r="G79" s="52"/>
      <c r="H79" s="52">
        <f t="shared" si="43"/>
        <v>0</v>
      </c>
      <c r="I79" s="3"/>
      <c r="J79" s="7">
        <f>1/1*(949525+85458+237382)*0+2/2*(1991320+(179521*0+179296)+(498588*0+497963))*0+3/3*(3253830+292963+813560)*0+4/4*(4178371+376212+1044669)*0+5/5*(5188260+467141+1297214)*0+6/6*(6467346+582302+1616962)*0+7/7*(7514370+676573+1878785)*0+8/8*(8558824+770615+2139972)*0+9/9*(9789119+881381+2447616)*0+12/12*(13024857+1147818+3187544)-(J80-2136.04*0-3502.28*0-12/12*5240.37)-11444443.91*0-15688285+15659921</f>
        <v>15631557</v>
      </c>
      <c r="K79" s="26"/>
      <c r="L79" s="30" t="s">
        <v>1193</v>
      </c>
      <c r="M79" s="8">
        <f>16653-4/4*(3111/3111*447+3113/3113*738)-15468+2012/2012*((15758*0+17008)-4/4*(408+842))</f>
        <v>15758</v>
      </c>
      <c r="N79" s="8"/>
      <c r="O79" s="8"/>
      <c r="P79" s="8"/>
      <c r="Q79" s="8"/>
      <c r="R79" s="8"/>
      <c r="S79" s="100">
        <f t="shared" si="44"/>
        <v>15758</v>
      </c>
      <c r="T79" s="53" t="s">
        <v>1170</v>
      </c>
      <c r="U79" s="108">
        <f>(2834000*0+3/3*4251000*0+5668000*0+5/5*7085000*0+6/6*8502000*0+7/7*9919000*0+8/8*11336000*0+9/9*12753000*0+10/10*14170000*0+12/12*17008000)/(16653*0+17008)*(15468*0+15758)+284.33678*0+3/3*426.505174*0-431.326435*0+5/5*(-289.158*0+710.842)*0+6/6*(-146.99*0+853.01)*0+7/7*(-4.821*0+995.179)*0+(8/8*137.35+9/9*142.165522+10/10*142.168391)*0-4000*0</f>
        <v>15758000</v>
      </c>
      <c r="V79" s="26">
        <f>U79/(S79*1000)</f>
        <v>1</v>
      </c>
      <c r="Y79" s="164">
        <f>J79</f>
        <v>15631557</v>
      </c>
      <c r="Z79" s="130"/>
      <c r="AA79" s="132">
        <f>Y79+Z79</f>
        <v>15631557</v>
      </c>
      <c r="AB79" s="135" t="s">
        <v>1193</v>
      </c>
      <c r="AC79" s="164">
        <f>U79</f>
        <v>15758000</v>
      </c>
      <c r="AD79" s="130"/>
      <c r="AE79" s="132">
        <f>AC79+AD79</f>
        <v>15758000</v>
      </c>
      <c r="AF79" s="129">
        <f>AE79-AA79</f>
        <v>126443</v>
      </c>
    </row>
    <row r="80" spans="1:32" s="106" customFormat="1" ht="15" customHeight="1">
      <c r="A80" s="37" t="s">
        <v>1184</v>
      </c>
      <c r="B80" s="75">
        <f>849+212+76-1137</f>
        <v>0</v>
      </c>
      <c r="C80" s="52"/>
      <c r="D80" s="52"/>
      <c r="E80" s="52"/>
      <c r="F80" s="52"/>
      <c r="G80" s="52"/>
      <c r="H80" s="52">
        <f t="shared" si="43"/>
        <v>0</v>
      </c>
      <c r="I80" s="3"/>
      <c r="J80" s="7">
        <f>((1/1*(87973+7922+21989)+2/2*(99090+8924+24767)+3/3*((119737*0+119707)+10778+29924))+4/4*(98790+8896+24694)+5/5*(103021+25751+9276+2136.04+(5/5)*(900+300)*0)+6/6*(123621+11130+30902-2136.04*0)+8/8*(103087+25771+9282+(519.21+432.75))+9/9*(98637+24656+8882+414.28)+10/10*((50370+62988)+(0+28338)+(0+10206)+(0+476.1)))*0+12/12*1677174.37*0+1705538.37</f>
        <v>1705538.37</v>
      </c>
      <c r="K80" s="26"/>
      <c r="L80" s="111" t="s">
        <v>1282</v>
      </c>
      <c r="M80" s="8"/>
      <c r="N80" s="8"/>
      <c r="O80" s="8"/>
      <c r="P80" s="8"/>
      <c r="Q80" s="8"/>
      <c r="R80" s="8"/>
      <c r="S80" s="46">
        <f t="shared" si="44"/>
        <v>0</v>
      </c>
      <c r="T80" s="53" t="s">
        <v>1170</v>
      </c>
      <c r="U80" s="22"/>
      <c r="V80" s="26"/>
      <c r="Y80" s="130">
        <f>J80</f>
        <v>1705538.37</v>
      </c>
      <c r="Z80" s="130"/>
      <c r="AA80" s="132">
        <f>Y80+Z80</f>
        <v>1705538.37</v>
      </c>
      <c r="AB80" s="146" t="s">
        <v>1282</v>
      </c>
      <c r="AC80" s="130">
        <f>U80</f>
        <v>0</v>
      </c>
      <c r="AD80" s="130"/>
      <c r="AE80" s="132">
        <f>AC80+AD80</f>
        <v>0</v>
      </c>
      <c r="AF80" s="129">
        <f>AE80-AA80</f>
        <v>-1705538.37</v>
      </c>
    </row>
    <row r="81" spans="1:32" s="106" customFormat="1" ht="12.75">
      <c r="A81" s="37" t="s">
        <v>1239</v>
      </c>
      <c r="B81" s="75"/>
      <c r="C81" s="52"/>
      <c r="D81" s="52"/>
      <c r="E81" s="52"/>
      <c r="F81" s="52"/>
      <c r="G81" s="52"/>
      <c r="H81" s="52"/>
      <c r="I81" s="3"/>
      <c r="J81" s="7">
        <f>-J121-((2/2*0-3/3*-(900+18450)-4/4*-((1500-900)+3300)-6/6*(-300)-8/8*(-(17206.94+300)-1600-0)-9/9*-(300+1400))*0-12/12*((106158.5*0+76534.17)+(62802*0+64062.33)))</f>
        <v>-1705538.37</v>
      </c>
      <c r="K81" s="26"/>
      <c r="L81" s="7"/>
      <c r="M81" s="8"/>
      <c r="N81" s="8"/>
      <c r="O81" s="8"/>
      <c r="P81" s="8"/>
      <c r="Q81" s="8"/>
      <c r="R81" s="8"/>
      <c r="S81" s="46"/>
      <c r="T81" s="53"/>
      <c r="U81" s="22"/>
      <c r="V81" s="26"/>
      <c r="Y81" s="130">
        <f>J81</f>
        <v>-1705538.37</v>
      </c>
      <c r="Z81" s="130"/>
      <c r="AA81" s="132">
        <f>Y81+Z81</f>
        <v>-1705538.37</v>
      </c>
      <c r="AB81" s="144"/>
      <c r="AC81" s="130">
        <f>U81</f>
        <v>0</v>
      </c>
      <c r="AD81" s="130"/>
      <c r="AE81" s="132">
        <f>AC81+AD81</f>
        <v>0</v>
      </c>
      <c r="AF81" s="129">
        <f>AE81-AA81</f>
        <v>1705538.37</v>
      </c>
    </row>
    <row r="82" spans="1:32" s="106" customFormat="1" ht="12.75" customHeight="1" hidden="1">
      <c r="A82" s="76" t="s">
        <v>1259</v>
      </c>
      <c r="B82" s="75">
        <f>633+158+57-848</f>
        <v>0</v>
      </c>
      <c r="C82" s="52"/>
      <c r="D82" s="52"/>
      <c r="E82" s="52"/>
      <c r="F82" s="52"/>
      <c r="G82" s="52"/>
      <c r="H82" s="52">
        <f t="shared" si="43"/>
        <v>0</v>
      </c>
      <c r="I82" s="3"/>
      <c r="J82" s="7">
        <v>0</v>
      </c>
      <c r="K82" s="26"/>
      <c r="L82" s="7"/>
      <c r="M82" s="8"/>
      <c r="N82" s="8"/>
      <c r="O82" s="8"/>
      <c r="P82" s="8"/>
      <c r="Q82" s="8"/>
      <c r="R82" s="8"/>
      <c r="S82" s="46">
        <f t="shared" si="44"/>
        <v>0</v>
      </c>
      <c r="T82" s="53" t="s">
        <v>1170</v>
      </c>
      <c r="U82" s="22"/>
      <c r="V82" s="26"/>
      <c r="Y82" s="126"/>
      <c r="Z82" s="126"/>
      <c r="AA82" s="126"/>
      <c r="AB82" s="131"/>
      <c r="AC82" s="126"/>
      <c r="AD82" s="126"/>
      <c r="AE82" s="126"/>
      <c r="AF82" s="128"/>
    </row>
    <row r="83" spans="1:32" s="106" customFormat="1" ht="12.75" customHeight="1" hidden="1">
      <c r="A83" s="76" t="s">
        <v>1238</v>
      </c>
      <c r="B83" s="75"/>
      <c r="C83" s="52"/>
      <c r="D83" s="52"/>
      <c r="E83" s="52"/>
      <c r="F83" s="52"/>
      <c r="G83" s="52"/>
      <c r="H83" s="52"/>
      <c r="I83" s="3"/>
      <c r="J83" s="7">
        <f>-J122</f>
        <v>0</v>
      </c>
      <c r="K83" s="26"/>
      <c r="L83" s="7"/>
      <c r="M83" s="8"/>
      <c r="N83" s="8"/>
      <c r="O83" s="8"/>
      <c r="P83" s="8"/>
      <c r="Q83" s="8"/>
      <c r="R83" s="8"/>
      <c r="S83" s="46"/>
      <c r="T83" s="53"/>
      <c r="U83" s="22"/>
      <c r="V83" s="26"/>
      <c r="Y83" s="126"/>
      <c r="Z83" s="126"/>
      <c r="AA83" s="126"/>
      <c r="AB83" s="131"/>
      <c r="AC83" s="126"/>
      <c r="AD83" s="126"/>
      <c r="AE83" s="126"/>
      <c r="AF83" s="128"/>
    </row>
    <row r="84" spans="1:32" s="106" customFormat="1" ht="12" customHeight="1" hidden="1">
      <c r="A84" s="37" t="s">
        <v>1186</v>
      </c>
      <c r="B84" s="75"/>
      <c r="C84" s="52"/>
      <c r="D84" s="52"/>
      <c r="E84" s="52"/>
      <c r="F84" s="52"/>
      <c r="G84" s="52"/>
      <c r="H84" s="52">
        <f t="shared" si="43"/>
        <v>0</v>
      </c>
      <c r="I84" s="3"/>
      <c r="J84" s="7"/>
      <c r="K84" s="26"/>
      <c r="L84" s="7" t="s">
        <v>1270</v>
      </c>
      <c r="M84" s="8"/>
      <c r="N84" s="8"/>
      <c r="O84" s="8"/>
      <c r="P84" s="8"/>
      <c r="Q84" s="8"/>
      <c r="R84" s="8"/>
      <c r="S84" s="46">
        <f t="shared" si="44"/>
        <v>0</v>
      </c>
      <c r="T84" s="53" t="s">
        <v>1170</v>
      </c>
      <c r="U84" s="22">
        <f>2/2*6016*0</f>
        <v>0</v>
      </c>
      <c r="V84" s="26"/>
      <c r="Y84" s="130">
        <f>J84</f>
        <v>0</v>
      </c>
      <c r="Z84" s="130"/>
      <c r="AA84" s="132">
        <f>Y84+Z84</f>
        <v>0</v>
      </c>
      <c r="AB84" s="131" t="s">
        <v>1270</v>
      </c>
      <c r="AC84" s="130">
        <f>U84</f>
        <v>0</v>
      </c>
      <c r="AD84" s="130"/>
      <c r="AE84" s="132">
        <f>AC84+AD84</f>
        <v>0</v>
      </c>
      <c r="AF84" s="129">
        <f>AE84-AA84</f>
        <v>0</v>
      </c>
    </row>
    <row r="85" spans="1:32" s="106" customFormat="1" ht="12.75" customHeight="1" hidden="1">
      <c r="A85" s="37"/>
      <c r="B85" s="75"/>
      <c r="C85" s="52"/>
      <c r="D85" s="52"/>
      <c r="E85" s="52"/>
      <c r="F85" s="52"/>
      <c r="G85" s="52"/>
      <c r="H85" s="52">
        <f t="shared" si="43"/>
        <v>0</v>
      </c>
      <c r="I85" s="3"/>
      <c r="J85" s="7"/>
      <c r="K85" s="26"/>
      <c r="L85" s="4"/>
      <c r="M85" s="8"/>
      <c r="N85" s="8"/>
      <c r="O85" s="8"/>
      <c r="P85" s="8"/>
      <c r="Q85" s="8"/>
      <c r="R85" s="8"/>
      <c r="S85" s="46">
        <f t="shared" si="44"/>
        <v>0</v>
      </c>
      <c r="T85" s="53" t="s">
        <v>1170</v>
      </c>
      <c r="U85" s="22"/>
      <c r="V85" s="26"/>
      <c r="Y85" s="126"/>
      <c r="Z85" s="126"/>
      <c r="AA85" s="126"/>
      <c r="AB85" s="135"/>
      <c r="AC85" s="126"/>
      <c r="AD85" s="126"/>
      <c r="AE85" s="126"/>
      <c r="AF85" s="128"/>
    </row>
    <row r="86" spans="1:32" s="106" customFormat="1" ht="19.5" customHeight="1">
      <c r="A86" s="25" t="s">
        <v>1196</v>
      </c>
      <c r="B86" s="75">
        <f>521*0+(583-62)</f>
        <v>521</v>
      </c>
      <c r="C86" s="52"/>
      <c r="D86" s="52">
        <v>210</v>
      </c>
      <c r="E86" s="52">
        <f>35</f>
        <v>35</v>
      </c>
      <c r="F86" s="52">
        <f>-139-32-19+7+91</f>
        <v>-92</v>
      </c>
      <c r="G86" s="52"/>
      <c r="H86" s="52">
        <f t="shared" si="43"/>
        <v>674</v>
      </c>
      <c r="I86" s="3"/>
      <c r="J86" s="7">
        <f>(4/4)*2/2*173377.09*0+3/3*345353.62*0+4/4*452514.05*0+5/5*510967.4*0+6/6*558957.8*0+7/7*563059.53*0+8/8*531622.69*0+9/9*563014.27*0+10/10*567490.27*0+12/12*677533.96</f>
        <v>677533.96</v>
      </c>
      <c r="K86" s="26">
        <f>J86/(H86*1000)</f>
        <v>1.0052432640949553</v>
      </c>
      <c r="L86" s="30" t="s">
        <v>1195</v>
      </c>
      <c r="M86" s="8"/>
      <c r="N86" s="8"/>
      <c r="O86" s="8"/>
      <c r="P86" s="8"/>
      <c r="Q86" s="8"/>
      <c r="R86" s="8"/>
      <c r="S86" s="46">
        <f t="shared" si="44"/>
        <v>0</v>
      </c>
      <c r="T86" s="53" t="s">
        <v>1170</v>
      </c>
      <c r="U86" s="22">
        <f>2/2*39500*0+3/3*63000*0+4/4*86500*0+5/5*110000+6/6*23750-133750*0+7/7*22250+8/8*23500+9/9*23500+10/10*23500-179500*0+1112/1112*52000</f>
        <v>278500</v>
      </c>
      <c r="V86" s="26"/>
      <c r="Y86" s="130">
        <f>J86</f>
        <v>677533.96</v>
      </c>
      <c r="Z86" s="130"/>
      <c r="AA86" s="132">
        <f>Y86+Z86</f>
        <v>677533.96</v>
      </c>
      <c r="AB86" s="135" t="s">
        <v>1195</v>
      </c>
      <c r="AC86" s="130">
        <f>U86</f>
        <v>278500</v>
      </c>
      <c r="AD86" s="130"/>
      <c r="AE86" s="132">
        <f>AC86+AD86</f>
        <v>278500</v>
      </c>
      <c r="AF86" s="129">
        <f>AE86-AA86</f>
        <v>-399033.95999999996</v>
      </c>
    </row>
    <row r="87" spans="1:32" s="106" customFormat="1" ht="21.75" customHeight="1">
      <c r="A87" s="25" t="s">
        <v>1245</v>
      </c>
      <c r="B87" s="75">
        <f>523*0+523</f>
        <v>523</v>
      </c>
      <c r="C87" s="52"/>
      <c r="D87" s="52">
        <v>150</v>
      </c>
      <c r="E87" s="52">
        <f>4</f>
        <v>4</v>
      </c>
      <c r="F87" s="52">
        <f>2323/2323*11-55-81-15+10-56-63</f>
        <v>-249</v>
      </c>
      <c r="G87" s="52">
        <f>-11+11</f>
        <v>0</v>
      </c>
      <c r="H87" s="52">
        <f t="shared" si="43"/>
        <v>428</v>
      </c>
      <c r="I87" s="3"/>
      <c r="J87" s="7">
        <f>(4/4)*2/2*134215.55*0+3/3*(175609.63*0+4/4*253181.39*0+286735.23*0+6/6*344841.63*0+349716.73*0+8/8*358868.91*0+9/9*368373.06*0+10/10*372892.26*0+12/12*426754.6+(2/2)*2323/2323*(2341*0+6/6*4041*0+9/9*9751*0+12/12*10771))</f>
        <v>437525.6</v>
      </c>
      <c r="K87" s="26">
        <f>J87/(H87*1000)</f>
        <v>1.0222560747663552</v>
      </c>
      <c r="L87" s="7"/>
      <c r="M87" s="8"/>
      <c r="N87" s="8"/>
      <c r="O87" s="8"/>
      <c r="P87" s="8"/>
      <c r="Q87" s="8"/>
      <c r="R87" s="8"/>
      <c r="S87" s="46">
        <f t="shared" si="44"/>
        <v>0</v>
      </c>
      <c r="T87" s="53" t="s">
        <v>1170</v>
      </c>
      <c r="U87" s="22"/>
      <c r="V87" s="26"/>
      <c r="Y87" s="130">
        <f>J87</f>
        <v>437525.6</v>
      </c>
      <c r="Z87" s="130"/>
      <c r="AA87" s="132">
        <f>Y87+Z87</f>
        <v>437525.6</v>
      </c>
      <c r="AB87" s="144"/>
      <c r="AC87" s="130">
        <f>U87</f>
        <v>0</v>
      </c>
      <c r="AD87" s="130"/>
      <c r="AE87" s="132">
        <f>AC87+AD87</f>
        <v>0</v>
      </c>
      <c r="AF87" s="129">
        <f>AE87-AA87</f>
        <v>-437525.6</v>
      </c>
    </row>
    <row r="88" spans="1:32" s="106" customFormat="1" ht="24.75" customHeight="1">
      <c r="A88" s="25" t="s">
        <v>1180</v>
      </c>
      <c r="B88" s="75">
        <f>262*0+262/2</f>
        <v>131</v>
      </c>
      <c r="C88" s="52"/>
      <c r="D88" s="52"/>
      <c r="E88" s="52"/>
      <c r="F88" s="52">
        <f>-47-29+8</f>
        <v>-68</v>
      </c>
      <c r="G88" s="52"/>
      <c r="H88" s="52">
        <f t="shared" si="43"/>
        <v>63</v>
      </c>
      <c r="I88" s="3"/>
      <c r="J88" s="7">
        <f>(4/4)*(2/2*53696.33*0+3/3*32076.18*0+4/4*35824.82*0+5/5*48261.68*0+6/6*48661.68*0+7/7*7631.37*0+27219.25*0+9/9*(31702.69*0+10/10*-4719.31*0+12/12*(39961.01-98216/98216*(62802*0+59537))+2/2*1824))</f>
        <v>-17751.989999999998</v>
      </c>
      <c r="K88" s="26">
        <f>J88/(H88*1000)</f>
        <v>-0.281777619047619</v>
      </c>
      <c r="L88" s="7"/>
      <c r="M88" s="8"/>
      <c r="N88" s="8"/>
      <c r="O88" s="8"/>
      <c r="P88" s="8"/>
      <c r="Q88" s="8"/>
      <c r="R88" s="8"/>
      <c r="S88" s="46">
        <f t="shared" si="44"/>
        <v>0</v>
      </c>
      <c r="T88" s="53" t="s">
        <v>1170</v>
      </c>
      <c r="U88" s="22"/>
      <c r="V88" s="26"/>
      <c r="Y88" s="130">
        <f aca="true" t="shared" si="45" ref="Y88:Y95">J88</f>
        <v>-17751.989999999998</v>
      </c>
      <c r="Z88" s="130"/>
      <c r="AA88" s="132">
        <f aca="true" t="shared" si="46" ref="AA88:AA95">Y88+Z88</f>
        <v>-17751.989999999998</v>
      </c>
      <c r="AB88" s="131"/>
      <c r="AC88" s="130">
        <f aca="true" t="shared" si="47" ref="AC88:AC95">U88</f>
        <v>0</v>
      </c>
      <c r="AD88" s="130"/>
      <c r="AE88" s="132">
        <f aca="true" t="shared" si="48" ref="AE88:AE95">AC88+AD88</f>
        <v>0</v>
      </c>
      <c r="AF88" s="129">
        <f aca="true" t="shared" si="49" ref="AF88:AF95">AE88-AA88</f>
        <v>17751.989999999998</v>
      </c>
    </row>
    <row r="89" spans="1:32" s="106" customFormat="1" ht="24.75" customHeight="1">
      <c r="A89" s="60" t="s">
        <v>1304</v>
      </c>
      <c r="B89" s="75"/>
      <c r="C89" s="52"/>
      <c r="D89" s="52">
        <v>18</v>
      </c>
      <c r="E89" s="52"/>
      <c r="F89" s="52"/>
      <c r="G89" s="52"/>
      <c r="H89" s="52">
        <f t="shared" si="43"/>
        <v>18</v>
      </c>
      <c r="I89" s="3"/>
      <c r="J89" s="7">
        <f>(10/10)*2/2*17640</f>
        <v>17640</v>
      </c>
      <c r="K89" s="26">
        <f>J89/(H89*1000)</f>
        <v>0.98</v>
      </c>
      <c r="L89" s="32" t="s">
        <v>1198</v>
      </c>
      <c r="M89" s="44">
        <f>300*0+2012/2012*500</f>
        <v>500</v>
      </c>
      <c r="N89" s="8"/>
      <c r="O89" s="8"/>
      <c r="P89" s="8">
        <v>50</v>
      </c>
      <c r="Q89" s="8"/>
      <c r="R89" s="8">
        <v>62.5</v>
      </c>
      <c r="S89" s="46">
        <f t="shared" si="44"/>
        <v>612.5</v>
      </c>
      <c r="T89" s="53" t="s">
        <v>1170</v>
      </c>
      <c r="U89" s="22">
        <f>2/2*131000*0+3/3*274200*0+4/4*306100*0+5/5*337800*0+6/6*407200*0+7/7*445100*0+8/8*458000*0+9/9*479600*0+10/10*547000*0+12/12*612200</f>
        <v>612200</v>
      </c>
      <c r="V89" s="26">
        <f>U89/(S89*1000)</f>
        <v>0.9995102040816326</v>
      </c>
      <c r="Y89" s="130">
        <f t="shared" si="45"/>
        <v>17640</v>
      </c>
      <c r="Z89" s="130"/>
      <c r="AA89" s="132">
        <f t="shared" si="46"/>
        <v>17640</v>
      </c>
      <c r="AB89" s="64" t="s">
        <v>1198</v>
      </c>
      <c r="AC89" s="130">
        <f t="shared" si="47"/>
        <v>612200</v>
      </c>
      <c r="AD89" s="130"/>
      <c r="AE89" s="132">
        <f t="shared" si="48"/>
        <v>612200</v>
      </c>
      <c r="AF89" s="129">
        <f t="shared" si="49"/>
        <v>594560</v>
      </c>
    </row>
    <row r="90" spans="1:32" s="106" customFormat="1" ht="12.75">
      <c r="A90" s="37" t="s">
        <v>1297</v>
      </c>
      <c r="B90" s="6">
        <f>4500*0+3113/3113*(5000-3500)+6171/6171*((4000-3612/3612*B62)+2000-2500)+2012/2012*(3000+1000+2000)</f>
        <v>6000</v>
      </c>
      <c r="C90" s="6"/>
      <c r="D90" s="6">
        <f>375+10+260-428</f>
        <v>217</v>
      </c>
      <c r="E90" s="6">
        <f>157</f>
        <v>157</v>
      </c>
      <c r="F90" s="6">
        <f>-2036+6125/6125*(37+10/10*60)</f>
        <v>-1939</v>
      </c>
      <c r="G90" s="6">
        <f>-1195+12/12*396</f>
        <v>-799</v>
      </c>
      <c r="H90" s="6">
        <f t="shared" si="43"/>
        <v>3636</v>
      </c>
      <c r="I90" s="3"/>
      <c r="J90" s="7">
        <f>2/2*((4/4)*(109/109*(18450*0+3/3*20610*0+4/4*712005.44*0+1871955.22*0+6/6*2031955.22)+4522/4522*7658+12/12*192108/192108*59700)+10/10*(48410*0+3/3*129870*0+5/5*261124+47245))+(4/4)*(3/3*(105600)*0+6/6*165600*0+10/10*((4/4)*(194000*0+12/12*(463393+1600/1600*583999))+(10/10)*279467))</f>
        <v>3734541.2199999997</v>
      </c>
      <c r="K90" s="26">
        <f>J90/(H90*1000)</f>
        <v>1.0271015456545654</v>
      </c>
      <c r="L90" s="15" t="s">
        <v>1197</v>
      </c>
      <c r="M90" s="8"/>
      <c r="N90" s="8"/>
      <c r="O90" s="8"/>
      <c r="P90" s="8"/>
      <c r="Q90" s="8"/>
      <c r="R90" s="8"/>
      <c r="S90" s="46">
        <f t="shared" si="44"/>
        <v>0</v>
      </c>
      <c r="T90" s="53" t="s">
        <v>1170</v>
      </c>
      <c r="U90" s="22"/>
      <c r="V90" s="26"/>
      <c r="Y90" s="130">
        <f t="shared" si="45"/>
        <v>3734541.2199999997</v>
      </c>
      <c r="Z90" s="147">
        <f>21/21*21000+338/338*13915.4+3/3*(127173.57*0+12/12*169273.46)+130/130*(119816.4*0+12/12*145700.4)+4/4*32400+133504/133504*(24100*0+40100)+4522/4522*(178634.24*0+246922.57)+110819/110819*(36730.5*0+42200.5)+602/602*(-14710.75*0+160407.5-16364.45)</f>
        <v>855555.3800000001</v>
      </c>
      <c r="AA90" s="132">
        <f t="shared" si="46"/>
        <v>4590096.6</v>
      </c>
      <c r="AB90" s="139" t="s">
        <v>1197</v>
      </c>
      <c r="AC90" s="130">
        <f t="shared" si="47"/>
        <v>0</v>
      </c>
      <c r="AD90" s="147">
        <f>3/3*(2039968.28*0+12/12*(2149990.84-2761636.87))+338/338*50+133504/133504*(93000*0+12/12*139500)+3632/3632*(42582*0+49068)+4522/4522*(150903.29*0+156961.38)+110819/110819*(85455.74*0+101745.92)+602/602*(1947718.66*0+2009498.51)</f>
        <v>1845177.7799999998</v>
      </c>
      <c r="AE90" s="132">
        <f t="shared" si="48"/>
        <v>1845177.7799999998</v>
      </c>
      <c r="AF90" s="129">
        <f t="shared" si="49"/>
        <v>-2744918.82</v>
      </c>
    </row>
    <row r="91" spans="1:32" s="106" customFormat="1" ht="12.75">
      <c r="A91" s="37" t="s">
        <v>1275</v>
      </c>
      <c r="B91" s="6"/>
      <c r="C91" s="6"/>
      <c r="D91" s="6"/>
      <c r="E91" s="6"/>
      <c r="F91" s="6"/>
      <c r="G91" s="6">
        <v>54</v>
      </c>
      <c r="H91" s="6">
        <f>SUM(B91:G91)</f>
        <v>54</v>
      </c>
      <c r="I91" s="3"/>
      <c r="J91" s="7">
        <f>(4/4)*3/3*53773.1</f>
        <v>53773.1</v>
      </c>
      <c r="K91" s="26"/>
      <c r="L91" s="7"/>
      <c r="M91" s="8"/>
      <c r="N91" s="8"/>
      <c r="O91" s="8"/>
      <c r="P91" s="8"/>
      <c r="Q91" s="8"/>
      <c r="R91" s="8"/>
      <c r="S91" s="46"/>
      <c r="T91" s="53"/>
      <c r="U91" s="22"/>
      <c r="V91" s="26"/>
      <c r="Y91" s="130">
        <f t="shared" si="45"/>
        <v>53773.1</v>
      </c>
      <c r="Z91" s="130"/>
      <c r="AA91" s="132">
        <f t="shared" si="46"/>
        <v>53773.1</v>
      </c>
      <c r="AB91" s="144"/>
      <c r="AC91" s="130">
        <f t="shared" si="47"/>
        <v>0</v>
      </c>
      <c r="AD91" s="130"/>
      <c r="AE91" s="132">
        <f t="shared" si="48"/>
        <v>0</v>
      </c>
      <c r="AF91" s="129">
        <f t="shared" si="49"/>
        <v>-53773.1</v>
      </c>
    </row>
    <row r="92" spans="1:32" s="106" customFormat="1" ht="21">
      <c r="A92" s="37" t="s">
        <v>1298</v>
      </c>
      <c r="B92" s="75">
        <f>0*0+150-B96</f>
        <v>150</v>
      </c>
      <c r="C92" s="52"/>
      <c r="D92" s="52"/>
      <c r="E92" s="52">
        <f>106/106*(17+14+4)</f>
        <v>35</v>
      </c>
      <c r="F92" s="52">
        <f>1310/1310*(11+77+(163-10))+1509/1509*(5+10/10*41)+106/106*(7-9)+12+1509/1509*70+1606/1606*(3+3)+206/206*(118-19)+309/309*3</f>
        <v>475</v>
      </c>
      <c r="G92" s="52">
        <f>606-660</f>
        <v>-54</v>
      </c>
      <c r="H92" s="52">
        <f t="shared" si="43"/>
        <v>606</v>
      </c>
      <c r="I92" s="3"/>
      <c r="J92" s="7">
        <f>6171/6171*((4/4)*1310/1310*(1080*(0+(10/10)*12/12)+12/12*(116396+206/206*(2820*(0+1)+28220*0)+1509/1509*5250))+9/9*(1/1)*2209/2209*858)+6112/6112*(5/5*(106/106*(27127*0+6/6*((45069*0+52479)+206/206*(119185*0+8/8*119995)+1606/1606*(6025+12/12*7410*0)))+1310/1310*(5000*0+10/10*162270*0+12/12*173490)))+9/9*309/309*3244.8+10/10*1509/1509*(6112/6112*(71258*0+71528)+6171/6171*(39480*0+12/12*40892))+12/12*(101112/101112*1851+111112/111112*12476)</f>
        <v>608384.8</v>
      </c>
      <c r="K92" s="26">
        <f aca="true" t="shared" si="50" ref="K92:K99">J92/(H92*1000)</f>
        <v>1.0039353135313531</v>
      </c>
      <c r="L92" s="92" t="s">
        <v>1154</v>
      </c>
      <c r="M92" s="8"/>
      <c r="N92" s="8"/>
      <c r="O92" s="8">
        <f>6/6*85</f>
        <v>85</v>
      </c>
      <c r="P92" s="8">
        <v>1070</v>
      </c>
      <c r="Q92" s="8"/>
      <c r="R92" s="8">
        <f>1500+20</f>
        <v>1520</v>
      </c>
      <c r="S92" s="46">
        <f t="shared" si="44"/>
        <v>2675</v>
      </c>
      <c r="T92" s="53" t="s">
        <v>1170</v>
      </c>
      <c r="U92" s="22">
        <f>2/2*5000+5/5*80000+6/6*50000-135000*0+7/7*1015000+8/8*5000-1155000*0+12/12*(1500000+20000)</f>
        <v>2675000</v>
      </c>
      <c r="V92" s="26">
        <f>U92/(S92*1000)</f>
        <v>1</v>
      </c>
      <c r="Y92" s="130">
        <f t="shared" si="45"/>
        <v>608384.8</v>
      </c>
      <c r="Z92" s="130"/>
      <c r="AA92" s="132">
        <f t="shared" si="46"/>
        <v>608384.8</v>
      </c>
      <c r="AB92" s="139" t="s">
        <v>1342</v>
      </c>
      <c r="AC92" s="130">
        <f t="shared" si="47"/>
        <v>2675000</v>
      </c>
      <c r="AD92" s="130"/>
      <c r="AE92" s="132">
        <f t="shared" si="48"/>
        <v>2675000</v>
      </c>
      <c r="AF92" s="129">
        <f t="shared" si="49"/>
        <v>2066615.2</v>
      </c>
    </row>
    <row r="93" spans="1:32" s="106" customFormat="1" ht="15" customHeight="1">
      <c r="A93" s="37" t="s">
        <v>1178</v>
      </c>
      <c r="B93" s="75">
        <f>56*0</f>
        <v>0</v>
      </c>
      <c r="C93" s="52"/>
      <c r="D93" s="52"/>
      <c r="E93" s="52"/>
      <c r="F93" s="52">
        <f>-17+7</f>
        <v>-10</v>
      </c>
      <c r="G93" s="52">
        <f>12/12*56</f>
        <v>56</v>
      </c>
      <c r="H93" s="52">
        <f t="shared" si="43"/>
        <v>46</v>
      </c>
      <c r="I93" s="3"/>
      <c r="J93" s="7">
        <f>(4/4)*(2/2*8945*0+4/4*24457*0+7/7*25722*0+8/8*35692*0+10/10*45662)</f>
        <v>45662</v>
      </c>
      <c r="K93" s="26">
        <f t="shared" si="50"/>
        <v>0.9926521739130435</v>
      </c>
      <c r="L93" s="15" t="s">
        <v>1246</v>
      </c>
      <c r="M93" s="8"/>
      <c r="N93" s="8"/>
      <c r="O93" s="8">
        <f>6/6*165</f>
        <v>165</v>
      </c>
      <c r="P93" s="8">
        <v>50</v>
      </c>
      <c r="Q93" s="8"/>
      <c r="R93" s="8"/>
      <c r="S93" s="46">
        <f t="shared" si="44"/>
        <v>215</v>
      </c>
      <c r="T93" s="53" t="s">
        <v>1170</v>
      </c>
      <c r="U93" s="22">
        <f>2/2*67062+4/4*(98681*0+63756+34925)+6/6*28668-194411*0+12/12*11607-206018*0</f>
        <v>206018</v>
      </c>
      <c r="V93" s="26">
        <f>U93/(S93*1000)</f>
        <v>0.9582232558139535</v>
      </c>
      <c r="Y93" s="130">
        <f t="shared" si="45"/>
        <v>45662</v>
      </c>
      <c r="Z93" s="130"/>
      <c r="AA93" s="132">
        <f t="shared" si="46"/>
        <v>45662</v>
      </c>
      <c r="AB93" s="139" t="s">
        <v>1246</v>
      </c>
      <c r="AC93" s="130">
        <f t="shared" si="47"/>
        <v>206018</v>
      </c>
      <c r="AD93" s="130"/>
      <c r="AE93" s="132">
        <f t="shared" si="48"/>
        <v>206018</v>
      </c>
      <c r="AF93" s="129">
        <f t="shared" si="49"/>
        <v>160356</v>
      </c>
    </row>
    <row r="94" spans="1:32" s="106" customFormat="1" ht="12.75">
      <c r="A94" s="37" t="s">
        <v>1179</v>
      </c>
      <c r="B94" s="75">
        <f>620*0+(509+101)</f>
        <v>610</v>
      </c>
      <c r="C94" s="52"/>
      <c r="D94" s="52"/>
      <c r="E94" s="52"/>
      <c r="F94" s="52"/>
      <c r="G94" s="52"/>
      <c r="H94" s="100">
        <f t="shared" si="43"/>
        <v>610</v>
      </c>
      <c r="I94" s="3"/>
      <c r="J94" s="7">
        <f>(1/1)*107176.44*0+3/3*151262.98*0+4/4*208504.77*0+250434.84*0+6/6*294009.07*0+9/9*389522.34*0+12/12*523740.14</f>
        <v>523740.14</v>
      </c>
      <c r="K94" s="26">
        <f t="shared" si="50"/>
        <v>0.858590393442623</v>
      </c>
      <c r="L94" s="9"/>
      <c r="M94" s="8"/>
      <c r="N94" s="8"/>
      <c r="O94" s="8"/>
      <c r="P94" s="8"/>
      <c r="Q94" s="8"/>
      <c r="R94" s="8"/>
      <c r="S94" s="46">
        <f t="shared" si="44"/>
        <v>0</v>
      </c>
      <c r="T94" s="53" t="s">
        <v>1170</v>
      </c>
      <c r="U94" s="22"/>
      <c r="V94" s="26"/>
      <c r="Y94" s="130">
        <f t="shared" si="45"/>
        <v>523740.14</v>
      </c>
      <c r="Z94" s="137">
        <f>632271.27*0+12/12*881692.27</f>
        <v>881692.27</v>
      </c>
      <c r="AA94" s="132">
        <f t="shared" si="46"/>
        <v>1405432.4100000001</v>
      </c>
      <c r="AB94" s="144"/>
      <c r="AC94" s="130">
        <f t="shared" si="47"/>
        <v>0</v>
      </c>
      <c r="AD94" s="137">
        <f>477630.29*0+12/12*565324.35</f>
        <v>565324.35</v>
      </c>
      <c r="AE94" s="132">
        <f t="shared" si="48"/>
        <v>565324.35</v>
      </c>
      <c r="AF94" s="129">
        <f t="shared" si="49"/>
        <v>-840108.0600000002</v>
      </c>
    </row>
    <row r="95" spans="1:32" s="106" customFormat="1" ht="12.75">
      <c r="A95" s="37" t="s">
        <v>1316</v>
      </c>
      <c r="B95" s="75">
        <f>65*0</f>
        <v>0</v>
      </c>
      <c r="C95" s="52"/>
      <c r="D95" s="52"/>
      <c r="E95" s="52"/>
      <c r="F95" s="52">
        <f>11/11*(-41+10/10*30)+12/12*(34+10/10*28)</f>
        <v>51</v>
      </c>
      <c r="G95" s="52">
        <f>12/12*4+12/12*(6171/6171*58+6112/6112*39)</f>
        <v>101</v>
      </c>
      <c r="H95" s="52">
        <f t="shared" si="43"/>
        <v>152</v>
      </c>
      <c r="I95" s="3"/>
      <c r="J95" s="7">
        <f>2/2*(10/10)*(6112/6112*25000+6171/6171*30960)+(4/4)*(10/10*22306*0+12/12*(58275+(10/10)*56967))</f>
        <v>171202</v>
      </c>
      <c r="K95" s="26">
        <f t="shared" si="50"/>
        <v>1.126328947368421</v>
      </c>
      <c r="L95" s="54" t="s">
        <v>1299</v>
      </c>
      <c r="M95" s="8"/>
      <c r="N95" s="8"/>
      <c r="O95" s="8"/>
      <c r="P95" s="8"/>
      <c r="Q95" s="8"/>
      <c r="R95" s="8"/>
      <c r="S95" s="46">
        <f t="shared" si="44"/>
        <v>0</v>
      </c>
      <c r="T95" s="53" t="s">
        <v>1170</v>
      </c>
      <c r="U95" s="22">
        <f>8/8*12640*0+9/9*49330*0+10/10*97275*0</f>
        <v>0</v>
      </c>
      <c r="V95" s="26"/>
      <c r="Y95" s="130">
        <f t="shared" si="45"/>
        <v>171202</v>
      </c>
      <c r="Z95" s="130"/>
      <c r="AA95" s="132">
        <f t="shared" si="46"/>
        <v>171202</v>
      </c>
      <c r="AB95" s="148" t="s">
        <v>1299</v>
      </c>
      <c r="AC95" s="130">
        <f t="shared" si="47"/>
        <v>0</v>
      </c>
      <c r="AD95" s="130"/>
      <c r="AE95" s="132">
        <f t="shared" si="48"/>
        <v>0</v>
      </c>
      <c r="AF95" s="129">
        <f t="shared" si="49"/>
        <v>-171202</v>
      </c>
    </row>
    <row r="96" spans="1:32" s="106" customFormat="1" ht="12.75" hidden="1">
      <c r="A96" s="37" t="s">
        <v>1273</v>
      </c>
      <c r="B96" s="75"/>
      <c r="C96" s="52"/>
      <c r="D96" s="52"/>
      <c r="E96" s="52"/>
      <c r="F96" s="52"/>
      <c r="G96" s="52"/>
      <c r="H96" s="52">
        <f t="shared" si="43"/>
        <v>0</v>
      </c>
      <c r="I96" s="3"/>
      <c r="J96" s="7"/>
      <c r="K96" s="26" t="e">
        <f t="shared" si="50"/>
        <v>#DIV/0!</v>
      </c>
      <c r="L96" s="53" t="s">
        <v>1266</v>
      </c>
      <c r="M96" s="8"/>
      <c r="N96" s="8"/>
      <c r="O96" s="8"/>
      <c r="P96" s="8"/>
      <c r="Q96" s="8"/>
      <c r="R96" s="8"/>
      <c r="S96" s="46">
        <f t="shared" si="44"/>
        <v>0</v>
      </c>
      <c r="T96" s="53" t="s">
        <v>1170</v>
      </c>
      <c r="U96" s="22"/>
      <c r="V96" s="26"/>
      <c r="Y96" s="126"/>
      <c r="Z96" s="126"/>
      <c r="AA96" s="126"/>
      <c r="AB96" s="149" t="s">
        <v>1266</v>
      </c>
      <c r="AC96" s="126"/>
      <c r="AD96" s="126"/>
      <c r="AE96" s="126"/>
      <c r="AF96" s="128"/>
    </row>
    <row r="97" spans="1:32" s="106" customFormat="1" ht="23.25">
      <c r="A97" s="37" t="s">
        <v>1300</v>
      </c>
      <c r="B97" s="75">
        <f>(153/153*10+(4/4)*403-413*0)*0+((77+50)+352+3)</f>
        <v>482</v>
      </c>
      <c r="C97" s="52"/>
      <c r="D97" s="52"/>
      <c r="E97" s="52">
        <f>4/4*5</f>
        <v>5</v>
      </c>
      <c r="F97" s="52"/>
      <c r="G97" s="52">
        <v>-372</v>
      </c>
      <c r="H97" s="52">
        <f t="shared" si="43"/>
        <v>115</v>
      </c>
      <c r="I97" s="3"/>
      <c r="J97" s="7">
        <f>(4/4)*2/2*(4/4*(3/3*1756.8*0+4/4*2275.2*0+5/5*2995.2*0+6/6*4032*0+7/7*4752*0+8/8*5270.4*0+9/9*5788.8*0+10/10*6508.8*0+12/12*7545.6)+153/153*((-2960+4/4*98662)*0+6/6*95702)+2098/2098*-200+2105/2105*-200+143/143*-150)+6/6*(1368/1368*(700+12/12*700)+1379/1379*(400+12/12*400))</f>
        <v>104897.6</v>
      </c>
      <c r="K97" s="26">
        <f t="shared" si="50"/>
        <v>0.9121530434782609</v>
      </c>
      <c r="L97" s="15" t="s">
        <v>1199</v>
      </c>
      <c r="M97" s="58">
        <f>160*0+2012/2012*200</f>
        <v>200</v>
      </c>
      <c r="N97" s="8"/>
      <c r="O97" s="8"/>
      <c r="P97" s="8">
        <v>20</v>
      </c>
      <c r="Q97" s="8"/>
      <c r="R97" s="8">
        <f>12/12*185</f>
        <v>185</v>
      </c>
      <c r="S97" s="46">
        <f t="shared" si="44"/>
        <v>405</v>
      </c>
      <c r="T97" s="53" t="s">
        <v>1170</v>
      </c>
      <c r="U97" s="22">
        <f>3/3*172305+6/6*47766+9/9*37450+10/10*123762.5-381283.5*0+12/12*-11250</f>
        <v>370033.5</v>
      </c>
      <c r="V97" s="26">
        <f>U97/(S97*1000)</f>
        <v>0.913662962962963</v>
      </c>
      <c r="Y97" s="130">
        <f>J97</f>
        <v>104897.6</v>
      </c>
      <c r="Z97" s="150">
        <f>180212/180212*37292.9+5163/5163*(11820.5*0+15032.5)+5164/5164*(11413.5*0+14287.5)+6171/6171*(731423*0+1066904)</f>
        <v>1133516.9</v>
      </c>
      <c r="AA97" s="132">
        <f>Y97+Z97</f>
        <v>1238414.5</v>
      </c>
      <c r="AB97" s="139" t="s">
        <v>1199</v>
      </c>
      <c r="AC97" s="130">
        <f>U97</f>
        <v>370033.5</v>
      </c>
      <c r="AD97" s="150">
        <f>180212/180212*103894.93+6171/6171*(40543.09*0+107082.88)</f>
        <v>210977.81</v>
      </c>
      <c r="AE97" s="132">
        <f>AC97+AD97</f>
        <v>581011.31</v>
      </c>
      <c r="AF97" s="129">
        <f>AE97-AA97</f>
        <v>-657403.19</v>
      </c>
    </row>
    <row r="98" spans="1:32" s="106" customFormat="1" ht="22.5">
      <c r="A98" s="37" t="s">
        <v>1185</v>
      </c>
      <c r="B98" s="75">
        <f>(3/3)*3*0</f>
        <v>0</v>
      </c>
      <c r="C98" s="52"/>
      <c r="D98" s="52"/>
      <c r="E98" s="52">
        <f>10</f>
        <v>10</v>
      </c>
      <c r="F98" s="52">
        <f>7</f>
        <v>7</v>
      </c>
      <c r="G98" s="52"/>
      <c r="H98" s="52">
        <f t="shared" si="43"/>
        <v>17</v>
      </c>
      <c r="I98" s="3"/>
      <c r="J98" s="7">
        <f>3/3*1756.8*0+4/4*2275.2*0+5/5*7495.2*0+6/6*8532*0+7/7*9252*0+8/8*9770.4*0+9/9*10288.8*0+10/10*11008.8*0+12/12*16545.6</f>
        <v>16545.6</v>
      </c>
      <c r="K98" s="26">
        <f t="shared" si="50"/>
        <v>0.973270588235294</v>
      </c>
      <c r="L98" s="92" t="s">
        <v>1301</v>
      </c>
      <c r="M98" s="8"/>
      <c r="N98" s="8"/>
      <c r="O98" s="8">
        <f>6/6*165</f>
        <v>165</v>
      </c>
      <c r="P98" s="8">
        <v>7</v>
      </c>
      <c r="Q98" s="8"/>
      <c r="R98" s="8">
        <f>9+12/12*1</f>
        <v>10</v>
      </c>
      <c r="S98" s="46">
        <f t="shared" si="44"/>
        <v>182</v>
      </c>
      <c r="T98" s="53" t="s">
        <v>1170</v>
      </c>
      <c r="U98" s="22">
        <f>2/2*574247+3/3*1280+4/4*(-526400+115565.85)+5/5*400+6/6*400-165492.85*0+7/7*(3588+106/106*1100)+8/8*2606+1556+1100-174342.85*0+10/10*2856+1112/1112*6312</f>
        <v>184610.84999999998</v>
      </c>
      <c r="V98" s="26">
        <f>U98/(S98*1000)</f>
        <v>1.0143453296703295</v>
      </c>
      <c r="Y98" s="130">
        <f>J98</f>
        <v>16545.6</v>
      </c>
      <c r="Z98" s="130"/>
      <c r="AA98" s="132">
        <f>Y98+Z98</f>
        <v>16545.6</v>
      </c>
      <c r="AB98" s="139" t="s">
        <v>1301</v>
      </c>
      <c r="AC98" s="130">
        <f>U98</f>
        <v>184610.84999999998</v>
      </c>
      <c r="AD98" s="130"/>
      <c r="AE98" s="132">
        <f>AC98+AD98</f>
        <v>184610.84999999998</v>
      </c>
      <c r="AF98" s="129">
        <f>AE98-AA98</f>
        <v>168065.24999999997</v>
      </c>
    </row>
    <row r="99" spans="1:32" s="103" customFormat="1" ht="15" customHeight="1">
      <c r="A99" s="77" t="s">
        <v>1213</v>
      </c>
      <c r="B99" s="48">
        <f aca="true" t="shared" si="51" ref="B99:H99">SUM(B68:B98)</f>
        <v>59405</v>
      </c>
      <c r="C99" s="13">
        <f t="shared" si="51"/>
        <v>200</v>
      </c>
      <c r="D99" s="13">
        <f t="shared" si="51"/>
        <v>-2195</v>
      </c>
      <c r="E99" s="13">
        <f t="shared" si="51"/>
        <v>-4020</v>
      </c>
      <c r="F99" s="13">
        <f t="shared" si="51"/>
        <v>-1771</v>
      </c>
      <c r="G99" s="13">
        <f t="shared" si="51"/>
        <v>-50.89999999999998</v>
      </c>
      <c r="H99" s="13">
        <f t="shared" si="51"/>
        <v>51568.1</v>
      </c>
      <c r="I99" s="56"/>
      <c r="J99" s="40">
        <f>SUM(J68:J98)</f>
        <v>44149290.84</v>
      </c>
      <c r="K99" s="27">
        <f t="shared" si="50"/>
        <v>0.8561356893118033</v>
      </c>
      <c r="L99" s="7"/>
      <c r="M99" s="13">
        <f aca="true" t="shared" si="52" ref="M99:S99">SUM(M68:M98)</f>
        <v>16558</v>
      </c>
      <c r="N99" s="13">
        <f t="shared" si="52"/>
        <v>0</v>
      </c>
      <c r="O99" s="13">
        <f t="shared" si="52"/>
        <v>415</v>
      </c>
      <c r="P99" s="13">
        <f t="shared" si="52"/>
        <v>1197</v>
      </c>
      <c r="Q99" s="13">
        <f t="shared" si="52"/>
        <v>0</v>
      </c>
      <c r="R99" s="13">
        <f t="shared" si="52"/>
        <v>1777.5</v>
      </c>
      <c r="S99" s="13">
        <f t="shared" si="52"/>
        <v>19947.5</v>
      </c>
      <c r="T99" s="56"/>
      <c r="U99" s="40">
        <f>SUM(U68:U98)</f>
        <v>20152938.880000003</v>
      </c>
      <c r="V99" s="27">
        <f>U99/(S99*1000)</f>
        <v>1.010298978819401</v>
      </c>
      <c r="Y99" s="126"/>
      <c r="Z99" s="151">
        <f>2138/2138*402250+26104/26104*0+975/975*3724+35728/35728*1473+3311/3311*22400+333/333*39330+1626/1626*28500+12574/12574*13797+172116/172116*(86070*0+4560)</f>
        <v>516034</v>
      </c>
      <c r="AA99" s="132">
        <f>Y99+Z99</f>
        <v>516034</v>
      </c>
      <c r="AB99" s="144"/>
      <c r="AC99" s="126"/>
      <c r="AD99" s="151">
        <f>2138/2138*295000+26104/26104*0+975/975*10725+35728/35728*135516+172116/172116*(163020*0+12/12*255590)</f>
        <v>696831</v>
      </c>
      <c r="AE99" s="132">
        <f>AC99+AD99</f>
        <v>696831</v>
      </c>
      <c r="AF99" s="129">
        <f>AE99-AA99</f>
        <v>180797</v>
      </c>
    </row>
    <row r="100" spans="1:32" s="106" customFormat="1" ht="22.5">
      <c r="A100" s="37" t="s">
        <v>1277</v>
      </c>
      <c r="B100" s="75"/>
      <c r="C100" s="52"/>
      <c r="D100" s="52"/>
      <c r="E100" s="52"/>
      <c r="F100" s="52"/>
      <c r="G100" s="52"/>
      <c r="H100" s="52"/>
      <c r="I100" s="3"/>
      <c r="J100" s="7">
        <f>2/2*63609*0+3/3*128185*0+4/4*208783*0+12/12*851641*0</f>
        <v>0</v>
      </c>
      <c r="K100" s="26"/>
      <c r="L100" s="92" t="s">
        <v>1200</v>
      </c>
      <c r="M100" s="8">
        <f>(270*0+250)+35+(532*0+520)+13+250+(700+600)+32</f>
        <v>2400</v>
      </c>
      <c r="N100" s="8"/>
      <c r="O100" s="8"/>
      <c r="P100" s="8">
        <f>43/43*-50+45/45*-50+47/47*-700+51/51*-150</f>
        <v>-950</v>
      </c>
      <c r="Q100" s="8"/>
      <c r="R100" s="8">
        <f>(250+35+577+13+285+0+450)-1450</f>
        <v>160</v>
      </c>
      <c r="S100" s="46">
        <f aca="true" t="shared" si="53" ref="S100:S109">SUM(M100:R100)</f>
        <v>1610</v>
      </c>
      <c r="T100" s="53" t="s">
        <v>1170</v>
      </c>
      <c r="U100" s="22">
        <f>1/1*(58075*0+3/3*154450*0+205678.5*0+5/5*224878.5*0+6/6*241528.5*0+7/7*214780.75*0+8/8*224363.75*0+9/9*234146.75*0+10/10*255932.5*0+12/12*255827)+2/2*(1020*0+3/3*1125*0+1927.5*0+5/5*12667.5*0+6/6*12967.5*0+7/7*6982.5*0+8/8*7147.5*0+9/9*9667.5*0+10/10*9772.5*0+12/12*10275)+3/3*(43940*0+3/3*59130*0+90035*0+5/5*142967*0+6/6*389017*0+7/7*413712*0+8/8*474110*0+9/9*505204*0+10/10*540123*0+12/12*610892)+4/4*(2738*0+5/5*7560)+5/5*(41012*0+3/3*52984*0+84280*0+5/5*102260*0+6/6*116776*0+7/7*140180*0+8/8*158628*0+9/9*177558*0+10/10*238124*0+12/12*285464)+51/51*3/3*155874*0+4/4*156442-9/9*(234146.75+9667.5+505204+7560+177558+156442)*0</f>
        <v>1326460</v>
      </c>
      <c r="V100" s="26">
        <f aca="true" t="shared" si="54" ref="V100:V107">U100/(S100*1000)</f>
        <v>0.823888198757764</v>
      </c>
      <c r="Y100" s="130">
        <f aca="true" t="shared" si="55" ref="Y100:Y108">J100</f>
        <v>0</v>
      </c>
      <c r="Z100" s="130"/>
      <c r="AA100" s="132">
        <f aca="true" t="shared" si="56" ref="AA100:AA108">Y100+Z100</f>
        <v>0</v>
      </c>
      <c r="AB100" s="139" t="s">
        <v>1200</v>
      </c>
      <c r="AC100" s="130">
        <f aca="true" t="shared" si="57" ref="AC100:AC108">U100</f>
        <v>1326460</v>
      </c>
      <c r="AD100" s="130"/>
      <c r="AE100" s="132">
        <f aca="true" t="shared" si="58" ref="AE100:AE108">AC100+AD100</f>
        <v>1326460</v>
      </c>
      <c r="AF100" s="129">
        <f aca="true" t="shared" si="59" ref="AF100:AF108">AE100-AA100</f>
        <v>1326460</v>
      </c>
    </row>
    <row r="101" spans="1:32" s="106" customFormat="1" ht="12.75">
      <c r="A101" s="37" t="s">
        <v>1276</v>
      </c>
      <c r="B101" s="75"/>
      <c r="C101" s="52"/>
      <c r="D101" s="52"/>
      <c r="E101" s="52"/>
      <c r="F101" s="52"/>
      <c r="G101" s="52"/>
      <c r="H101" s="52"/>
      <c r="I101" s="3"/>
      <c r="J101" s="7">
        <f>3/3*159.5+6/6*159.5+9/9*159.5+12/12*159.5</f>
        <v>638</v>
      </c>
      <c r="K101" s="26"/>
      <c r="L101" s="15" t="s">
        <v>1201</v>
      </c>
      <c r="M101" s="6">
        <f>2700*1.035+5.5</f>
        <v>2800</v>
      </c>
      <c r="N101" s="8"/>
      <c r="O101" s="8"/>
      <c r="P101" s="8">
        <v>-1247</v>
      </c>
      <c r="Q101" s="8"/>
      <c r="R101" s="8">
        <f>1942-1553</f>
        <v>389</v>
      </c>
      <c r="S101" s="112">
        <f t="shared" si="53"/>
        <v>1942</v>
      </c>
      <c r="T101" s="53" t="s">
        <v>1170</v>
      </c>
      <c r="U101" s="22">
        <f>2/2*304215*0+3/3*459815*0+4/4*641490*0+5/5*882375*0+6/6*1091393*0+7/7*1265073*0+8/8*1412868*0+9/9*1552028*0+10/10*1701678*0+12/12*1942418</f>
        <v>1942418</v>
      </c>
      <c r="V101" s="26">
        <f t="shared" si="54"/>
        <v>1.0002152420185375</v>
      </c>
      <c r="Y101" s="130">
        <f t="shared" si="55"/>
        <v>638</v>
      </c>
      <c r="Z101" s="130"/>
      <c r="AA101" s="132">
        <f t="shared" si="56"/>
        <v>638</v>
      </c>
      <c r="AB101" s="139" t="s">
        <v>1201</v>
      </c>
      <c r="AC101" s="130">
        <f t="shared" si="57"/>
        <v>1942418</v>
      </c>
      <c r="AD101" s="130"/>
      <c r="AE101" s="132">
        <f t="shared" si="58"/>
        <v>1942418</v>
      </c>
      <c r="AF101" s="129">
        <f t="shared" si="59"/>
        <v>1941780</v>
      </c>
    </row>
    <row r="102" spans="1:32" s="106" customFormat="1" ht="22.5">
      <c r="A102" s="113"/>
      <c r="B102" s="75"/>
      <c r="C102" s="52"/>
      <c r="D102" s="52"/>
      <c r="E102" s="52"/>
      <c r="F102" s="52"/>
      <c r="G102" s="52"/>
      <c r="H102" s="52"/>
      <c r="I102" s="3"/>
      <c r="J102" s="7"/>
      <c r="K102" s="26"/>
      <c r="L102" s="92" t="s">
        <v>1202</v>
      </c>
      <c r="M102" s="6">
        <f>5000*0+9200*0+2012/2012*8700</f>
        <v>8700</v>
      </c>
      <c r="N102" s="8"/>
      <c r="O102" s="8"/>
      <c r="P102" s="8"/>
      <c r="Q102" s="8"/>
      <c r="R102" s="8"/>
      <c r="S102" s="100">
        <f t="shared" si="53"/>
        <v>8700</v>
      </c>
      <c r="T102" s="53" t="s">
        <v>1170</v>
      </c>
      <c r="U102" s="22">
        <f>4/4*23253*0+5/5*42391*0+6/6*110830*0+7/7*5748833*0+8/8*5809857*0+9/9*5841747+10/10*33739+1112/1112*2867265.53</f>
        <v>8742751.53</v>
      </c>
      <c r="V102" s="26">
        <f t="shared" si="54"/>
        <v>1.004913968965517</v>
      </c>
      <c r="Y102" s="130">
        <f t="shared" si="55"/>
        <v>0</v>
      </c>
      <c r="Z102" s="130"/>
      <c r="AA102" s="132">
        <f t="shared" si="56"/>
        <v>0</v>
      </c>
      <c r="AB102" s="139" t="s">
        <v>1202</v>
      </c>
      <c r="AC102" s="130">
        <f t="shared" si="57"/>
        <v>8742751.53</v>
      </c>
      <c r="AD102" s="130"/>
      <c r="AE102" s="132">
        <f t="shared" si="58"/>
        <v>8742751.53</v>
      </c>
      <c r="AF102" s="129">
        <f t="shared" si="59"/>
        <v>8742751.53</v>
      </c>
    </row>
    <row r="103" spans="1:32" s="116" customFormat="1" ht="19.5">
      <c r="A103" s="113"/>
      <c r="B103" s="75"/>
      <c r="C103" s="52"/>
      <c r="D103" s="52"/>
      <c r="E103" s="52"/>
      <c r="F103" s="52"/>
      <c r="G103" s="52"/>
      <c r="H103" s="52"/>
      <c r="I103" s="3"/>
      <c r="J103" s="7"/>
      <c r="K103" s="26"/>
      <c r="L103" s="15" t="s">
        <v>1193</v>
      </c>
      <c r="M103" s="8">
        <f>16653-4/4*(3111/3111*447+3113/3113*738)-9/9*15468</f>
        <v>0</v>
      </c>
      <c r="N103" s="8"/>
      <c r="O103" s="8"/>
      <c r="P103" s="8"/>
      <c r="Q103" s="8"/>
      <c r="R103" s="8"/>
      <c r="S103" s="46">
        <f t="shared" si="53"/>
        <v>0</v>
      </c>
      <c r="T103" s="53" t="s">
        <v>1170</v>
      </c>
      <c r="U103" s="114">
        <f>(2834000/2*(2+3/3+4/4+5/5+6/6+7/7+8/8+9/9+10/10+(11/11+12/12))+4000)+(-U24-U27-U79)</f>
        <v>0</v>
      </c>
      <c r="V103" s="115" t="s">
        <v>1256</v>
      </c>
      <c r="Y103" s="130">
        <f t="shared" si="55"/>
        <v>0</v>
      </c>
      <c r="Z103" s="130"/>
      <c r="AA103" s="132">
        <f t="shared" si="56"/>
        <v>0</v>
      </c>
      <c r="AB103" s="139" t="s">
        <v>1193</v>
      </c>
      <c r="AC103" s="130">
        <f t="shared" si="57"/>
        <v>0</v>
      </c>
      <c r="AD103" s="130"/>
      <c r="AE103" s="132">
        <f t="shared" si="58"/>
        <v>0</v>
      </c>
      <c r="AF103" s="129">
        <f t="shared" si="59"/>
        <v>0</v>
      </c>
    </row>
    <row r="104" spans="1:32" s="106" customFormat="1" ht="12.75">
      <c r="A104" s="37"/>
      <c r="B104" s="75"/>
      <c r="C104" s="52"/>
      <c r="D104" s="52"/>
      <c r="E104" s="52"/>
      <c r="F104" s="52"/>
      <c r="G104" s="52"/>
      <c r="H104" s="52"/>
      <c r="I104" s="3"/>
      <c r="J104" s="7"/>
      <c r="K104" s="26"/>
      <c r="L104" s="15" t="s">
        <v>1203</v>
      </c>
      <c r="M104" s="8">
        <f>8408*3.728472883*0+(31120-2071)*0+2012/2012*(38243.68+0.32)</f>
        <v>38244</v>
      </c>
      <c r="N104" s="8"/>
      <c r="O104" s="8">
        <f>16/16*128</f>
        <v>128</v>
      </c>
      <c r="P104" s="8"/>
      <c r="Q104" s="8"/>
      <c r="R104" s="8"/>
      <c r="S104" s="100">
        <f t="shared" si="53"/>
        <v>38372</v>
      </c>
      <c r="T104" s="53" t="s">
        <v>1170</v>
      </c>
      <c r="U104" s="22">
        <f>(2/2*2+3/3+4/4+5/5+6/6+7/7+8/8+9/9+10/10+11/11+12/12)*6374000/2+(109489+18596)</f>
        <v>38372085</v>
      </c>
      <c r="V104" s="26">
        <f t="shared" si="54"/>
        <v>1.0000022151568853</v>
      </c>
      <c r="Y104" s="130">
        <f t="shared" si="55"/>
        <v>0</v>
      </c>
      <c r="Z104" s="130"/>
      <c r="AA104" s="132">
        <f t="shared" si="56"/>
        <v>0</v>
      </c>
      <c r="AB104" s="139" t="s">
        <v>1203</v>
      </c>
      <c r="AC104" s="164">
        <f t="shared" si="57"/>
        <v>38372085</v>
      </c>
      <c r="AD104" s="130"/>
      <c r="AE104" s="132">
        <f t="shared" si="58"/>
        <v>38372085</v>
      </c>
      <c r="AF104" s="129">
        <f t="shared" si="59"/>
        <v>38372085</v>
      </c>
    </row>
    <row r="105" spans="1:32" s="106" customFormat="1" ht="22.5">
      <c r="A105" s="113"/>
      <c r="B105" s="75"/>
      <c r="C105" s="52"/>
      <c r="D105" s="52"/>
      <c r="E105" s="52"/>
      <c r="F105" s="52"/>
      <c r="G105" s="52"/>
      <c r="H105" s="52"/>
      <c r="I105" s="3"/>
      <c r="J105" s="7"/>
      <c r="K105" s="26"/>
      <c r="L105" s="92" t="s">
        <v>1281</v>
      </c>
      <c r="M105" s="8"/>
      <c r="N105" s="8">
        <f>7/7*3507.1</f>
        <v>3507.1</v>
      </c>
      <c r="O105" s="8"/>
      <c r="P105" s="8"/>
      <c r="Q105" s="8"/>
      <c r="R105" s="8"/>
      <c r="S105" s="100">
        <f t="shared" si="53"/>
        <v>3507.1</v>
      </c>
      <c r="T105" s="53" t="s">
        <v>1170</v>
      </c>
      <c r="U105" s="22">
        <f>7/7*3507120.55</f>
        <v>3507120.55</v>
      </c>
      <c r="V105" s="26">
        <f t="shared" si="54"/>
        <v>1.0000058595420718</v>
      </c>
      <c r="Y105" s="130">
        <f t="shared" si="55"/>
        <v>0</v>
      </c>
      <c r="Z105" s="130"/>
      <c r="AA105" s="132">
        <f t="shared" si="56"/>
        <v>0</v>
      </c>
      <c r="AB105" s="139" t="s">
        <v>1281</v>
      </c>
      <c r="AC105" s="130">
        <f t="shared" si="57"/>
        <v>3507120.55</v>
      </c>
      <c r="AD105" s="130"/>
      <c r="AE105" s="132">
        <f t="shared" si="58"/>
        <v>3507120.55</v>
      </c>
      <c r="AF105" s="129">
        <f t="shared" si="59"/>
        <v>3507120.55</v>
      </c>
    </row>
    <row r="106" spans="1:32" s="106" customFormat="1" ht="22.5">
      <c r="A106" s="37"/>
      <c r="B106" s="75"/>
      <c r="C106" s="52"/>
      <c r="D106" s="52"/>
      <c r="E106" s="52"/>
      <c r="F106" s="52"/>
      <c r="G106" s="52"/>
      <c r="H106" s="52"/>
      <c r="I106" s="3"/>
      <c r="J106" s="7"/>
      <c r="K106" s="26"/>
      <c r="L106" s="92" t="s">
        <v>1204</v>
      </c>
      <c r="M106" s="8">
        <f>3000*0+21256/2*2-M62-9256*0+3000-12256+2012/2012*(3612/3612*5000+3688)</f>
        <v>8688</v>
      </c>
      <c r="N106" s="8"/>
      <c r="O106" s="8">
        <v>12000</v>
      </c>
      <c r="P106" s="8"/>
      <c r="Q106" s="8"/>
      <c r="R106" s="8">
        <f>12/12*-2288</f>
        <v>-2288</v>
      </c>
      <c r="S106" s="100">
        <f t="shared" si="53"/>
        <v>18400</v>
      </c>
      <c r="T106" s="53" t="s">
        <v>1170</v>
      </c>
      <c r="U106" s="22">
        <f>2/2*5000000+5/5*5000000+12/12*8400000</f>
        <v>18400000</v>
      </c>
      <c r="V106" s="26">
        <f t="shared" si="54"/>
        <v>1</v>
      </c>
      <c r="Y106" s="130">
        <f t="shared" si="55"/>
        <v>0</v>
      </c>
      <c r="Z106" s="130"/>
      <c r="AA106" s="132">
        <f t="shared" si="56"/>
        <v>0</v>
      </c>
      <c r="AB106" s="139" t="s">
        <v>1204</v>
      </c>
      <c r="AC106" s="130">
        <f t="shared" si="57"/>
        <v>18400000</v>
      </c>
      <c r="AD106" s="130"/>
      <c r="AE106" s="132">
        <f t="shared" si="58"/>
        <v>18400000</v>
      </c>
      <c r="AF106" s="129">
        <f t="shared" si="59"/>
        <v>18400000</v>
      </c>
    </row>
    <row r="107" spans="1:32" s="106" customFormat="1" ht="12.75">
      <c r="A107" s="104"/>
      <c r="B107" s="75"/>
      <c r="C107" s="52"/>
      <c r="D107" s="52"/>
      <c r="E107" s="52"/>
      <c r="F107" s="52"/>
      <c r="G107" s="52"/>
      <c r="H107" s="52"/>
      <c r="I107" s="3"/>
      <c r="J107" s="7"/>
      <c r="K107" s="26"/>
      <c r="L107" s="15" t="s">
        <v>1274</v>
      </c>
      <c r="M107" s="8">
        <f>(8/8*-643.7+10/10*446.9+196.8)*0*2010/2010</f>
        <v>0</v>
      </c>
      <c r="N107" s="8">
        <f>9/9*-830.3+11/11*(-652+830.3)</f>
        <v>-652</v>
      </c>
      <c r="O107" s="8"/>
      <c r="P107" s="8"/>
      <c r="Q107" s="8"/>
      <c r="R107" s="8"/>
      <c r="S107" s="100">
        <f t="shared" si="53"/>
        <v>-652</v>
      </c>
      <c r="T107" s="53" t="s">
        <v>1170</v>
      </c>
      <c r="U107" s="22">
        <f>6402/6402*-783249*0+7/7*-830347.75*0+10/10*-652113.39</f>
        <v>-652113.39</v>
      </c>
      <c r="V107" s="26">
        <f t="shared" si="54"/>
        <v>1.0001739110429448</v>
      </c>
      <c r="Y107" s="130">
        <f t="shared" si="55"/>
        <v>0</v>
      </c>
      <c r="Z107" s="130"/>
      <c r="AA107" s="132">
        <f t="shared" si="56"/>
        <v>0</v>
      </c>
      <c r="AB107" s="139" t="s">
        <v>1274</v>
      </c>
      <c r="AC107" s="130">
        <f t="shared" si="57"/>
        <v>-652113.39</v>
      </c>
      <c r="AD107" s="130"/>
      <c r="AE107" s="132">
        <f t="shared" si="58"/>
        <v>-652113.39</v>
      </c>
      <c r="AF107" s="129">
        <f t="shared" si="59"/>
        <v>-652113.39</v>
      </c>
    </row>
    <row r="108" spans="1:32" s="106" customFormat="1" ht="12.75" hidden="1">
      <c r="A108" s="37"/>
      <c r="B108" s="75"/>
      <c r="C108" s="52"/>
      <c r="D108" s="52"/>
      <c r="E108" s="52"/>
      <c r="F108" s="52"/>
      <c r="G108" s="52"/>
      <c r="H108" s="52"/>
      <c r="I108" s="3"/>
      <c r="J108" s="7"/>
      <c r="K108" s="26"/>
      <c r="L108" s="15" t="s">
        <v>1269</v>
      </c>
      <c r="M108" s="8"/>
      <c r="N108" s="8"/>
      <c r="O108" s="8"/>
      <c r="P108" s="8"/>
      <c r="Q108" s="8"/>
      <c r="R108" s="8"/>
      <c r="S108" s="46">
        <f t="shared" si="53"/>
        <v>0</v>
      </c>
      <c r="T108" s="53" t="s">
        <v>1170</v>
      </c>
      <c r="U108" s="22">
        <f>6171/6171*610*0*3/3+6409/6409*-97240*0+3/3*-101175*0+4/4*-152410*0+5/5*-98930*0+6/6*(-123290*0+7/7*-125724*0+8/8*-99520*0+9/9*-149530*0+10/10*-143733+10612/10612*1100)+142633</f>
        <v>0</v>
      </c>
      <c r="V108" s="26"/>
      <c r="Y108" s="130">
        <f t="shared" si="55"/>
        <v>0</v>
      </c>
      <c r="Z108" s="130"/>
      <c r="AA108" s="132">
        <f t="shared" si="56"/>
        <v>0</v>
      </c>
      <c r="AB108" s="139" t="s">
        <v>1269</v>
      </c>
      <c r="AC108" s="130">
        <f t="shared" si="57"/>
        <v>0</v>
      </c>
      <c r="AD108" s="130"/>
      <c r="AE108" s="132">
        <f t="shared" si="58"/>
        <v>0</v>
      </c>
      <c r="AF108" s="129">
        <f t="shared" si="59"/>
        <v>0</v>
      </c>
    </row>
    <row r="109" spans="1:32" s="106" customFormat="1" ht="12.75" hidden="1">
      <c r="A109" s="37"/>
      <c r="B109" s="75"/>
      <c r="C109" s="52"/>
      <c r="D109" s="52"/>
      <c r="E109" s="52"/>
      <c r="F109" s="52"/>
      <c r="G109" s="52"/>
      <c r="H109" s="52"/>
      <c r="I109" s="3"/>
      <c r="J109" s="7"/>
      <c r="K109" s="26"/>
      <c r="L109" s="15" t="s">
        <v>1205</v>
      </c>
      <c r="M109" s="8"/>
      <c r="N109" s="8"/>
      <c r="O109" s="8"/>
      <c r="P109" s="8"/>
      <c r="Q109" s="8"/>
      <c r="R109" s="8"/>
      <c r="S109" s="46">
        <f t="shared" si="53"/>
        <v>0</v>
      </c>
      <c r="T109" s="53" t="s">
        <v>1170</v>
      </c>
      <c r="U109" s="22"/>
      <c r="V109" s="26"/>
      <c r="Y109" s="126"/>
      <c r="Z109" s="126"/>
      <c r="AA109" s="126"/>
      <c r="AB109" s="139" t="s">
        <v>1205</v>
      </c>
      <c r="AC109" s="126"/>
      <c r="AD109" s="126"/>
      <c r="AE109" s="126"/>
      <c r="AF109" s="128"/>
    </row>
    <row r="110" spans="1:32" s="103" customFormat="1" ht="12.75">
      <c r="A110" s="77" t="s">
        <v>1214</v>
      </c>
      <c r="B110" s="48">
        <f aca="true" t="shared" si="60" ref="B110:H110">SUM(B100:B109)</f>
        <v>0</v>
      </c>
      <c r="C110" s="13">
        <f t="shared" si="60"/>
        <v>0</v>
      </c>
      <c r="D110" s="13">
        <f t="shared" si="60"/>
        <v>0</v>
      </c>
      <c r="E110" s="13">
        <f t="shared" si="60"/>
        <v>0</v>
      </c>
      <c r="F110" s="13">
        <f t="shared" si="60"/>
        <v>0</v>
      </c>
      <c r="G110" s="13">
        <f t="shared" si="60"/>
        <v>0</v>
      </c>
      <c r="H110" s="13">
        <f t="shared" si="60"/>
        <v>0</v>
      </c>
      <c r="I110" s="3"/>
      <c r="J110" s="40">
        <f>SUM(J100:J109)</f>
        <v>638</v>
      </c>
      <c r="K110" s="26"/>
      <c r="L110" s="7"/>
      <c r="M110" s="13">
        <f aca="true" t="shared" si="61" ref="M110:S110">SUM(M100:M109)</f>
        <v>60832</v>
      </c>
      <c r="N110" s="13">
        <f t="shared" si="61"/>
        <v>2855.1</v>
      </c>
      <c r="O110" s="13">
        <f t="shared" si="61"/>
        <v>12128</v>
      </c>
      <c r="P110" s="13">
        <f t="shared" si="61"/>
        <v>-2197</v>
      </c>
      <c r="Q110" s="13">
        <f t="shared" si="61"/>
        <v>0</v>
      </c>
      <c r="R110" s="13">
        <f t="shared" si="61"/>
        <v>-1739</v>
      </c>
      <c r="S110" s="13">
        <f t="shared" si="61"/>
        <v>71879.1</v>
      </c>
      <c r="T110" s="56"/>
      <c r="U110" s="40">
        <f>SUM(U100:U109)</f>
        <v>71638721.69</v>
      </c>
      <c r="V110" s="27">
        <f>U110/(S110*1000)</f>
        <v>0.9966557968867167</v>
      </c>
      <c r="Y110" s="126"/>
      <c r="Z110" s="126"/>
      <c r="AA110" s="126"/>
      <c r="AB110" s="144"/>
      <c r="AC110" s="126"/>
      <c r="AD110" s="126"/>
      <c r="AE110" s="126"/>
      <c r="AF110" s="128"/>
    </row>
    <row r="111" spans="1:32" s="106" customFormat="1" ht="12.75">
      <c r="A111" s="37"/>
      <c r="B111" s="75"/>
      <c r="C111" s="52"/>
      <c r="D111" s="52"/>
      <c r="E111" s="52"/>
      <c r="F111" s="52"/>
      <c r="G111" s="52"/>
      <c r="H111" s="52"/>
      <c r="I111" s="3"/>
      <c r="J111" s="117"/>
      <c r="K111" s="26"/>
      <c r="L111" s="3"/>
      <c r="M111" s="6"/>
      <c r="N111" s="6"/>
      <c r="O111" s="6"/>
      <c r="P111" s="6"/>
      <c r="Q111" s="6"/>
      <c r="R111" s="6"/>
      <c r="S111" s="6"/>
      <c r="T111" s="3"/>
      <c r="U111" s="117"/>
      <c r="V111" s="26"/>
      <c r="Y111" s="126"/>
      <c r="Z111" s="126"/>
      <c r="AA111" s="126"/>
      <c r="AB111" s="139"/>
      <c r="AC111" s="126"/>
      <c r="AD111" s="126"/>
      <c r="AE111" s="126"/>
      <c r="AF111" s="128"/>
    </row>
    <row r="112" spans="1:32" s="57" customFormat="1" ht="12.75">
      <c r="A112" s="17" t="s">
        <v>1175</v>
      </c>
      <c r="B112" s="118">
        <f aca="true" t="shared" si="62" ref="B112:H112">SUM(B4:B111)/2</f>
        <v>91345</v>
      </c>
      <c r="C112" s="118">
        <f t="shared" si="62"/>
        <v>4614.1</v>
      </c>
      <c r="D112" s="118">
        <f t="shared" si="62"/>
        <v>543</v>
      </c>
      <c r="E112" s="118">
        <f t="shared" si="62"/>
        <v>-970</v>
      </c>
      <c r="F112" s="118">
        <f t="shared" si="62"/>
        <v>570</v>
      </c>
      <c r="G112" s="118">
        <f t="shared" si="62"/>
        <v>-1548.5</v>
      </c>
      <c r="H112" s="118">
        <f t="shared" si="62"/>
        <v>94553.6</v>
      </c>
      <c r="I112" s="3"/>
      <c r="J112" s="24">
        <f>SUM(J4:J111)/2</f>
        <v>85694371</v>
      </c>
      <c r="K112" s="42">
        <f>J112/(H112*1000)</f>
        <v>0.9063046885576012</v>
      </c>
      <c r="L112" s="65"/>
      <c r="M112" s="118">
        <f>SUM(M4:M111)/2</f>
        <v>91345</v>
      </c>
      <c r="N112" s="118">
        <f>SUM(N4:N111)/2</f>
        <v>2855.1</v>
      </c>
      <c r="O112" s="118">
        <f>SUM(O7:O111)/2</f>
        <v>543</v>
      </c>
      <c r="P112" s="118">
        <f>SUM(P7:P111)/2</f>
        <v>-970</v>
      </c>
      <c r="Q112" s="118">
        <f>SUM(Q7:Q111)/2</f>
        <v>0</v>
      </c>
      <c r="R112" s="118">
        <f>SUM(R7:R111)/2</f>
        <v>128.5</v>
      </c>
      <c r="S112" s="118">
        <f>SUM(S4:S111)/2</f>
        <v>93901.6</v>
      </c>
      <c r="T112" s="2"/>
      <c r="U112" s="24">
        <f>SUM(U4:U111)/2</f>
        <v>93806239</v>
      </c>
      <c r="V112" s="42">
        <f>U112/(S112*1000)</f>
        <v>0.9989844581987953</v>
      </c>
      <c r="Y112" s="152">
        <f>SUM(Y4:Y110)</f>
        <v>85694370.99999997</v>
      </c>
      <c r="Z112" s="152">
        <f aca="true" t="shared" si="63" ref="Z112:AE112">SUM(Z4:Z110)</f>
        <v>11449341.05</v>
      </c>
      <c r="AA112" s="152">
        <f t="shared" si="63"/>
        <v>97143712.04999997</v>
      </c>
      <c r="AB112" s="144"/>
      <c r="AC112" s="152">
        <f t="shared" si="63"/>
        <v>93806239</v>
      </c>
      <c r="AD112" s="152">
        <f t="shared" si="63"/>
        <v>23222635.07</v>
      </c>
      <c r="AE112" s="152">
        <f t="shared" si="63"/>
        <v>117028874.07000001</v>
      </c>
      <c r="AF112" s="129">
        <f>AE112-AA112</f>
        <v>19885162.02000004</v>
      </c>
    </row>
    <row r="113" spans="2:32" ht="12.75">
      <c r="B113"/>
      <c r="C113"/>
      <c r="D113"/>
      <c r="E113"/>
      <c r="F113"/>
      <c r="G113"/>
      <c r="H113"/>
      <c r="I113"/>
      <c r="J113"/>
      <c r="M113" s="38"/>
      <c r="N113" s="29"/>
      <c r="O113" s="29"/>
      <c r="P113" s="29"/>
      <c r="Q113" s="29"/>
      <c r="R113" s="29"/>
      <c r="S113" s="29"/>
      <c r="U113" s="86">
        <f>U112+U131*0-J112</f>
        <v>8111868</v>
      </c>
      <c r="V113" s="26"/>
      <c r="Z113" s="153">
        <f>11449341.05-Z112</f>
        <v>0</v>
      </c>
      <c r="AA113" s="160">
        <f>Y112+Z112-AA112</f>
        <v>0</v>
      </c>
      <c r="AD113" s="153">
        <f>23222635.07-AD112</f>
        <v>0</v>
      </c>
      <c r="AF113" s="152">
        <f>SUM(AF4:AF110)</f>
        <v>19885162.020000007</v>
      </c>
    </row>
    <row r="114" spans="1:22" ht="12.75">
      <c r="A114" s="18" t="s">
        <v>1173</v>
      </c>
      <c r="B114"/>
      <c r="C114"/>
      <c r="D114"/>
      <c r="E114"/>
      <c r="F114"/>
      <c r="G114"/>
      <c r="H114"/>
      <c r="I114"/>
      <c r="J114"/>
      <c r="U114" s="7"/>
      <c r="V114" s="26"/>
    </row>
    <row r="115" spans="1:22" ht="12.75">
      <c r="A115" s="16" t="s">
        <v>1181</v>
      </c>
      <c r="B115"/>
      <c r="C115"/>
      <c r="D115"/>
      <c r="E115"/>
      <c r="F115"/>
      <c r="G115"/>
      <c r="H115"/>
      <c r="I115"/>
      <c r="J115"/>
      <c r="U115" s="34">
        <f>SUM(U116:U130)-SUM(J116:J130)</f>
        <v>-221556.4700000002</v>
      </c>
      <c r="V115" s="79" t="s">
        <v>1308</v>
      </c>
    </row>
    <row r="116" spans="1:28" ht="12.75" hidden="1">
      <c r="A116" s="1" t="s">
        <v>1231</v>
      </c>
      <c r="H116" s="52">
        <f aca="true" t="shared" si="64" ref="H116:H122">SUM(B116:G116)</f>
        <v>0</v>
      </c>
      <c r="L116" s="29"/>
      <c r="M116" s="8"/>
      <c r="N116" s="41"/>
      <c r="O116" s="8"/>
      <c r="P116" s="8"/>
      <c r="Q116" s="8"/>
      <c r="R116" s="8"/>
      <c r="S116" s="49">
        <f>SUM(M116:R116)</f>
        <v>0</v>
      </c>
      <c r="T116" s="53" t="s">
        <v>1170</v>
      </c>
      <c r="U116" s="22"/>
      <c r="V116" s="26"/>
      <c r="AB116" s="154"/>
    </row>
    <row r="117" spans="1:28" ht="12.75" hidden="1">
      <c r="A117" s="1" t="s">
        <v>1218</v>
      </c>
      <c r="H117" s="52">
        <f t="shared" si="64"/>
        <v>0</v>
      </c>
      <c r="L117" s="29"/>
      <c r="M117" s="8"/>
      <c r="N117" s="41"/>
      <c r="O117" s="8"/>
      <c r="P117" s="8"/>
      <c r="Q117" s="8"/>
      <c r="R117" s="8"/>
      <c r="S117" s="49">
        <f>SUM(M117:R117)</f>
        <v>0</v>
      </c>
      <c r="T117" s="53" t="s">
        <v>1170</v>
      </c>
      <c r="U117" s="22"/>
      <c r="V117" s="26"/>
      <c r="AB117" s="154"/>
    </row>
    <row r="118" spans="1:32" ht="12.75">
      <c r="A118" s="37" t="s">
        <v>1279</v>
      </c>
      <c r="B118" s="75"/>
      <c r="C118" s="52">
        <f>7/7*44.1</f>
        <v>44.1</v>
      </c>
      <c r="D118" s="52"/>
      <c r="H118" s="52">
        <f t="shared" si="64"/>
        <v>44.1</v>
      </c>
      <c r="J118" s="7">
        <f>44050</f>
        <v>44050</v>
      </c>
      <c r="K118" s="26">
        <f>J118/(H118*1000)</f>
        <v>0.9988662131519275</v>
      </c>
      <c r="L118" s="167">
        <f>L121+L128+L120-J121</f>
        <v>0</v>
      </c>
      <c r="M118" s="8"/>
      <c r="N118" s="46">
        <f>7/7*44.1</f>
        <v>44.1</v>
      </c>
      <c r="O118" s="8"/>
      <c r="P118" s="8"/>
      <c r="Q118" s="8"/>
      <c r="R118" s="8"/>
      <c r="S118" s="100">
        <f aca="true" t="shared" si="65" ref="S118:S130">SUM(M118:R118)</f>
        <v>44.1</v>
      </c>
      <c r="T118" s="53"/>
      <c r="U118" s="7">
        <f>7/7*44050</f>
        <v>44050</v>
      </c>
      <c r="V118" s="26">
        <f>U118/(S118*1000)</f>
        <v>0.9988662131519275</v>
      </c>
      <c r="Y118" s="130">
        <f>J118</f>
        <v>44050</v>
      </c>
      <c r="Z118" s="130"/>
      <c r="AA118" s="132">
        <f>Y118+Z118</f>
        <v>44050</v>
      </c>
      <c r="AB118" s="154"/>
      <c r="AC118" s="130">
        <f>U118</f>
        <v>44050</v>
      </c>
      <c r="AD118" s="130"/>
      <c r="AE118" s="132">
        <f>AC118+AD118</f>
        <v>44050</v>
      </c>
      <c r="AF118" s="129">
        <f>AE118-AA118</f>
        <v>0</v>
      </c>
    </row>
    <row r="119" spans="1:28" ht="12.75" hidden="1">
      <c r="A119" s="37" t="s">
        <v>1219</v>
      </c>
      <c r="B119" s="75"/>
      <c r="C119" s="52"/>
      <c r="D119" s="52"/>
      <c r="H119" s="52">
        <f t="shared" si="64"/>
        <v>0</v>
      </c>
      <c r="L119" s="29"/>
      <c r="M119" s="8"/>
      <c r="N119" s="8"/>
      <c r="O119" s="8"/>
      <c r="P119" s="8"/>
      <c r="Q119" s="8"/>
      <c r="R119" s="8"/>
      <c r="S119" s="46">
        <f t="shared" si="65"/>
        <v>0</v>
      </c>
      <c r="T119" s="53" t="s">
        <v>1170</v>
      </c>
      <c r="U119" s="22"/>
      <c r="V119" s="26"/>
      <c r="AB119" s="154"/>
    </row>
    <row r="120" spans="1:32" ht="12.75">
      <c r="A120" s="37" t="s">
        <v>1192</v>
      </c>
      <c r="B120" s="75"/>
      <c r="C120" s="52">
        <f>9/9*(970*0+(700+177+63+30))</f>
        <v>970</v>
      </c>
      <c r="D120" s="52"/>
      <c r="H120" s="52">
        <f t="shared" si="64"/>
        <v>970</v>
      </c>
      <c r="J120" s="7">
        <f>10/10*(700000+177000+63000+30000)</f>
        <v>970000</v>
      </c>
      <c r="K120" s="26">
        <f>J120/(H120*1000)</f>
        <v>1</v>
      </c>
      <c r="L120" s="167">
        <f>5/5*((0+5743.67)+7498.22+30380.28+13230+35368*0+19682)</f>
        <v>76534.17</v>
      </c>
      <c r="M120" s="8"/>
      <c r="N120" s="46">
        <f>9/9*(970*0+(700+177+63+30))</f>
        <v>970</v>
      </c>
      <c r="O120" s="8"/>
      <c r="P120" s="8"/>
      <c r="Q120" s="8"/>
      <c r="R120" s="8"/>
      <c r="S120" s="100">
        <f t="shared" si="65"/>
        <v>970</v>
      </c>
      <c r="T120" s="53" t="s">
        <v>1170</v>
      </c>
      <c r="U120" s="22">
        <f>4/4*970000*(40%+6/6*30%+10/10*30%)</f>
        <v>970000</v>
      </c>
      <c r="V120" s="26">
        <f>U120/(S120*1000)</f>
        <v>1</v>
      </c>
      <c r="Y120" s="130">
        <f>J120</f>
        <v>970000</v>
      </c>
      <c r="Z120" s="130"/>
      <c r="AA120" s="132">
        <f>Y120+Z120</f>
        <v>970000</v>
      </c>
      <c r="AB120" s="154"/>
      <c r="AC120" s="130">
        <f>U120</f>
        <v>970000</v>
      </c>
      <c r="AD120" s="130"/>
      <c r="AE120" s="132">
        <f>AC120+AD120</f>
        <v>970000</v>
      </c>
      <c r="AF120" s="129">
        <f>AE120-AA120</f>
        <v>0</v>
      </c>
    </row>
    <row r="121" spans="1:32" ht="12.75">
      <c r="A121" s="37" t="s">
        <v>1236</v>
      </c>
      <c r="B121" s="75"/>
      <c r="C121" s="52">
        <f>398.5*(2/2+5/5)+(8/8+11/11)*418.7</f>
        <v>1634.4</v>
      </c>
      <c r="D121" s="52"/>
      <c r="H121" s="52">
        <f t="shared" si="64"/>
        <v>1634.4</v>
      </c>
      <c r="J121" s="168">
        <f>3/3*((3/3)*((306770*0+405560)+(55510*0+101374)+(16864*0+16846*0+36520))+(5/5)*(62/62*(900*0+1500)+67/67*3300+73/73*(18450)))+6/6*(103021+25751+9276+2136.04+5/5*300)+8/8*(226708+56673+20412+951.96+17506.94+1600+0)+9/9*(98637+24656+8882+414.28+300+1400)+10/10*(50370+0+0+0)-1215699.22+12/12*(3/3*(1247707*0+1268867+311883*0+317179+112344*0+114252+5240.37)-(1677174.37*0+1705538.37*0)+4/4*(0+4525.33)+732/732*(1757+27750+30030+3265*0)+5/5*((0+5743.67)+7498.22+30380.28+13230+35368*0+19682))</f>
        <v>1846134.87</v>
      </c>
      <c r="K121" s="26">
        <f>J121/(H121*1000)</f>
        <v>1.129548990455213</v>
      </c>
      <c r="L121" s="167">
        <f>10/10*-1215699.22*0+12/12*(3/3*((1247707*0+1268867)+(311883*0+317179)+(112344*0+114252)+5240.37))-461475.15*0</f>
        <v>1705538.37</v>
      </c>
      <c r="M121" s="8"/>
      <c r="N121" s="46">
        <f>398.5*(2/2+5/5)+(8/8+11/11)*418.7</f>
        <v>1634.4</v>
      </c>
      <c r="O121" s="8"/>
      <c r="P121" s="8"/>
      <c r="Q121" s="8"/>
      <c r="R121" s="8"/>
      <c r="S121" s="100">
        <f t="shared" si="65"/>
        <v>1634.4</v>
      </c>
      <c r="T121" s="53" t="s">
        <v>1170</v>
      </c>
      <c r="U121" s="22">
        <f>398476*(3/3+5/5)+(8/8+11/11)*418700-1</f>
        <v>1634351</v>
      </c>
      <c r="V121" s="26">
        <f>U121/(S121*1000)</f>
        <v>0.9999700195790504</v>
      </c>
      <c r="Y121" s="130">
        <f>J121</f>
        <v>1846134.87</v>
      </c>
      <c r="Z121" s="130"/>
      <c r="AA121" s="132">
        <f>Y121+Z121</f>
        <v>1846134.87</v>
      </c>
      <c r="AB121" s="144"/>
      <c r="AC121" s="130">
        <f>U121</f>
        <v>1634351</v>
      </c>
      <c r="AD121" s="130"/>
      <c r="AE121" s="132">
        <f>AC121+AD121</f>
        <v>1634351</v>
      </c>
      <c r="AF121" s="129">
        <f>AE121-AA121</f>
        <v>-211783.8700000001</v>
      </c>
    </row>
    <row r="122" spans="1:28" ht="12.75" hidden="1">
      <c r="A122" s="37" t="s">
        <v>1237</v>
      </c>
      <c r="B122" s="75"/>
      <c r="C122" s="52"/>
      <c r="D122" s="52"/>
      <c r="H122" s="52">
        <f t="shared" si="64"/>
        <v>0</v>
      </c>
      <c r="L122" s="29"/>
      <c r="M122" s="8"/>
      <c r="N122" s="8"/>
      <c r="O122" s="8"/>
      <c r="P122" s="8"/>
      <c r="Q122" s="8"/>
      <c r="R122" s="8"/>
      <c r="S122" s="100">
        <f t="shared" si="65"/>
        <v>0</v>
      </c>
      <c r="T122" s="53" t="s">
        <v>1170</v>
      </c>
      <c r="U122" s="22"/>
      <c r="V122" s="26"/>
      <c r="AB122" s="154"/>
    </row>
    <row r="123" spans="1:28" ht="12.75" hidden="1">
      <c r="A123" s="37" t="s">
        <v>1235</v>
      </c>
      <c r="B123" s="75"/>
      <c r="C123" s="52"/>
      <c r="D123" s="52"/>
      <c r="H123" s="52">
        <f aca="true" t="shared" si="66" ref="H123:H129">SUM(B123:G123)</f>
        <v>0</v>
      </c>
      <c r="L123" s="29"/>
      <c r="M123" s="8"/>
      <c r="N123" s="46"/>
      <c r="O123" s="46"/>
      <c r="P123" s="46"/>
      <c r="Q123" s="46"/>
      <c r="R123" s="46"/>
      <c r="S123" s="100">
        <f t="shared" si="65"/>
        <v>0</v>
      </c>
      <c r="T123" s="3"/>
      <c r="U123" s="7"/>
      <c r="V123" s="26"/>
      <c r="AB123" s="154"/>
    </row>
    <row r="124" spans="1:28" ht="12.75" hidden="1">
      <c r="A124" s="37" t="s">
        <v>1250</v>
      </c>
      <c r="B124" s="75"/>
      <c r="C124" s="52"/>
      <c r="D124" s="52"/>
      <c r="H124" s="52">
        <f t="shared" si="66"/>
        <v>0</v>
      </c>
      <c r="L124" s="29"/>
      <c r="M124" s="8"/>
      <c r="N124" s="46"/>
      <c r="O124" s="8"/>
      <c r="P124" s="8"/>
      <c r="Q124" s="8"/>
      <c r="R124" s="8"/>
      <c r="S124" s="100">
        <f t="shared" si="65"/>
        <v>0</v>
      </c>
      <c r="T124" s="53" t="s">
        <v>1170</v>
      </c>
      <c r="U124" s="7"/>
      <c r="V124" s="26"/>
      <c r="AB124" s="154"/>
    </row>
    <row r="125" spans="1:28" ht="12.75" hidden="1">
      <c r="A125" s="37" t="s">
        <v>1260</v>
      </c>
      <c r="B125" s="75"/>
      <c r="C125" s="75"/>
      <c r="D125" s="52"/>
      <c r="H125" s="52">
        <f t="shared" si="66"/>
        <v>0</v>
      </c>
      <c r="L125" s="29"/>
      <c r="M125" s="8"/>
      <c r="N125" s="75"/>
      <c r="O125" s="52"/>
      <c r="P125" s="52"/>
      <c r="Q125" s="52"/>
      <c r="R125" s="52"/>
      <c r="S125" s="100">
        <f t="shared" si="65"/>
        <v>0</v>
      </c>
      <c r="T125" s="3"/>
      <c r="U125" s="7"/>
      <c r="V125" s="26"/>
      <c r="AB125" s="154"/>
    </row>
    <row r="126" spans="1:28" ht="23.25" hidden="1">
      <c r="A126" s="37" t="s">
        <v>1261</v>
      </c>
      <c r="B126" s="75"/>
      <c r="C126" s="52"/>
      <c r="D126" s="52"/>
      <c r="H126" s="52">
        <f t="shared" si="66"/>
        <v>0</v>
      </c>
      <c r="L126" s="29"/>
      <c r="M126" s="8"/>
      <c r="N126" s="46"/>
      <c r="O126" s="46"/>
      <c r="P126" s="46"/>
      <c r="Q126" s="46"/>
      <c r="R126" s="46"/>
      <c r="S126" s="100">
        <f t="shared" si="65"/>
        <v>0</v>
      </c>
      <c r="T126" s="3"/>
      <c r="U126" s="7"/>
      <c r="V126" s="26"/>
      <c r="AB126" s="154"/>
    </row>
    <row r="127" spans="1:28" ht="12.75" hidden="1">
      <c r="A127" s="37" t="s">
        <v>1262</v>
      </c>
      <c r="B127" s="75"/>
      <c r="C127" s="52"/>
      <c r="D127" s="52"/>
      <c r="H127" s="52">
        <f t="shared" si="66"/>
        <v>0</v>
      </c>
      <c r="L127" s="29"/>
      <c r="M127" s="8"/>
      <c r="N127" s="46"/>
      <c r="O127" s="46"/>
      <c r="P127" s="46"/>
      <c r="Q127" s="46"/>
      <c r="R127" s="46"/>
      <c r="S127" s="100">
        <f>SUM(M127:R127)</f>
        <v>0</v>
      </c>
      <c r="T127" s="3"/>
      <c r="U127" s="7"/>
      <c r="V127" s="26"/>
      <c r="AB127" s="154"/>
    </row>
    <row r="128" spans="1:32" ht="12.75">
      <c r="A128" s="37" t="s">
        <v>1306</v>
      </c>
      <c r="B128" s="75"/>
      <c r="C128" s="52">
        <f>9/9*7.8</f>
        <v>7.8</v>
      </c>
      <c r="D128" s="52"/>
      <c r="H128" s="52">
        <f t="shared" si="66"/>
        <v>7.8</v>
      </c>
      <c r="J128" s="50">
        <v>7840</v>
      </c>
      <c r="K128" s="26">
        <f>J128/(H128*1000)</f>
        <v>1.005128205128205</v>
      </c>
      <c r="L128" s="167">
        <f>-1677174.37*0+4/4*(0+4525.33)+732/732*(1757+27750+30030+3265*0)</f>
        <v>64062.33</v>
      </c>
      <c r="M128" s="8"/>
      <c r="N128" s="46">
        <f>9/9*7.8</f>
        <v>7.8</v>
      </c>
      <c r="O128" s="46"/>
      <c r="P128" s="46"/>
      <c r="Q128" s="46"/>
      <c r="R128" s="46"/>
      <c r="S128" s="46">
        <f>SUM(M128:R128)</f>
        <v>7.8</v>
      </c>
      <c r="T128" s="3"/>
      <c r="U128" s="50">
        <f>9/9*7840</f>
        <v>7840</v>
      </c>
      <c r="V128" s="26">
        <f>U128/(S128*1000)</f>
        <v>1.005128205128205</v>
      </c>
      <c r="Y128" s="130">
        <f>J128</f>
        <v>7840</v>
      </c>
      <c r="Z128" s="130"/>
      <c r="AA128" s="132">
        <f>Y128+Z128</f>
        <v>7840</v>
      </c>
      <c r="AB128" s="131"/>
      <c r="AC128" s="130">
        <f>U128</f>
        <v>7840</v>
      </c>
      <c r="AD128" s="130"/>
      <c r="AE128" s="132">
        <f>AC128+AD128</f>
        <v>7840</v>
      </c>
      <c r="AF128" s="129">
        <f>AE128-AA128</f>
        <v>0</v>
      </c>
    </row>
    <row r="129" spans="1:32" ht="12.75">
      <c r="A129" s="37" t="s">
        <v>1307</v>
      </c>
      <c r="B129" s="75"/>
      <c r="C129" s="52">
        <f>10/10*256</f>
        <v>256</v>
      </c>
      <c r="D129" s="52"/>
      <c r="H129" s="52">
        <f t="shared" si="66"/>
        <v>256</v>
      </c>
      <c r="J129" s="50">
        <f>10/10*((106800*0+106703)+(2000*0+16281*0+8844)+(0+12825.6)+(30100*0+10000*0+30079.6)+(117100*0+14797.4*0+107320.4))</f>
        <v>265772.6</v>
      </c>
      <c r="K129" s="26">
        <f>J129/(H129*1000)</f>
        <v>1.0381742187499998</v>
      </c>
      <c r="L129" s="7">
        <f>273612.6-7840</f>
        <v>265772.6</v>
      </c>
      <c r="M129" s="8"/>
      <c r="N129" s="46">
        <f>10/10*256</f>
        <v>256</v>
      </c>
      <c r="O129" s="46"/>
      <c r="P129" s="46"/>
      <c r="Q129" s="46"/>
      <c r="R129" s="46"/>
      <c r="S129" s="46">
        <f>SUM(M129:R129)</f>
        <v>256</v>
      </c>
      <c r="T129" s="3"/>
      <c r="U129" s="50">
        <f>10/10*256000</f>
        <v>256000</v>
      </c>
      <c r="V129" s="26">
        <f>U129/(S129*1000)</f>
        <v>1</v>
      </c>
      <c r="Y129" s="130">
        <f>J129</f>
        <v>265772.6</v>
      </c>
      <c r="Z129" s="130"/>
      <c r="AA129" s="132">
        <f>Y129+Z129</f>
        <v>265772.6</v>
      </c>
      <c r="AB129" s="131"/>
      <c r="AC129" s="130">
        <f>U129</f>
        <v>256000</v>
      </c>
      <c r="AD129" s="130"/>
      <c r="AE129" s="132">
        <f>AC129+AD129</f>
        <v>256000</v>
      </c>
      <c r="AF129" s="129">
        <f>AE129-AA129</f>
        <v>-9772.599999999977</v>
      </c>
    </row>
    <row r="130" spans="1:32" ht="12.75">
      <c r="A130" s="71"/>
      <c r="H130" s="51">
        <f aca="true" t="shared" si="67" ref="H130:H154">SUM(B130:G130)</f>
        <v>0</v>
      </c>
      <c r="L130" s="29"/>
      <c r="M130" s="8"/>
      <c r="N130" s="8"/>
      <c r="O130" s="8"/>
      <c r="P130" s="8"/>
      <c r="Q130" s="8"/>
      <c r="R130" s="8"/>
      <c r="S130" s="41">
        <f t="shared" si="65"/>
        <v>0</v>
      </c>
      <c r="T130" s="53" t="s">
        <v>1170</v>
      </c>
      <c r="V130" s="26"/>
      <c r="Y130" s="140"/>
      <c r="Z130" s="140"/>
      <c r="AA130" s="141"/>
      <c r="AB130" s="154"/>
      <c r="AC130" s="140"/>
      <c r="AD130" s="140"/>
      <c r="AE130" s="141"/>
      <c r="AF130" s="141"/>
    </row>
    <row r="131" spans="1:28" ht="37.5" customHeight="1">
      <c r="A131" s="16" t="s">
        <v>1182</v>
      </c>
      <c r="H131" s="51">
        <f t="shared" si="67"/>
        <v>0</v>
      </c>
      <c r="L131" s="29"/>
      <c r="U131" s="34">
        <f>SUM(U132:U144,U145:U155)-J145*0-(SUM(J132:J144,J145:J155)-J145)</f>
        <v>310838</v>
      </c>
      <c r="V131" s="124" t="s">
        <v>1321</v>
      </c>
      <c r="AB131" s="154"/>
    </row>
    <row r="132" spans="1:32" ht="12.75">
      <c r="A132" s="119" t="s">
        <v>1189</v>
      </c>
      <c r="B132" s="44"/>
      <c r="C132" s="44">
        <f>2/2*4200</f>
        <v>4200</v>
      </c>
      <c r="D132" s="44"/>
      <c r="E132" s="44"/>
      <c r="F132" s="44"/>
      <c r="G132" s="44"/>
      <c r="H132" s="44">
        <f t="shared" si="67"/>
        <v>4200</v>
      </c>
      <c r="J132" s="7">
        <f>2/2*4200000/12*(2+3/3+4/4+5/5+6/6+7/7+8/8+(9/9+10/10+(11/11+12/12)))</f>
        <v>4200000</v>
      </c>
      <c r="K132" s="26">
        <f aca="true" t="shared" si="68" ref="K132:K139">J132/(H132*1000)</f>
        <v>1</v>
      </c>
      <c r="L132" s="29"/>
      <c r="M132" s="8"/>
      <c r="N132" s="46">
        <f>2/2*4200</f>
        <v>4200</v>
      </c>
      <c r="O132" s="8"/>
      <c r="P132" s="8"/>
      <c r="Q132" s="8"/>
      <c r="R132" s="8"/>
      <c r="S132" s="46">
        <f>SUM(M132:R132)</f>
        <v>4200</v>
      </c>
      <c r="T132" s="53" t="s">
        <v>1170</v>
      </c>
      <c r="U132" s="22">
        <f>2/2*4200000</f>
        <v>4200000</v>
      </c>
      <c r="V132" s="26">
        <f>U132/(S132*1000)</f>
        <v>1</v>
      </c>
      <c r="Y132" s="130">
        <f aca="true" t="shared" si="69" ref="Y132:Y139">J132</f>
        <v>4200000</v>
      </c>
      <c r="Z132" s="130"/>
      <c r="AA132" s="132">
        <f aca="true" t="shared" si="70" ref="AA132:AA139">Y132+Z132</f>
        <v>4200000</v>
      </c>
      <c r="AB132" s="144"/>
      <c r="AC132" s="130">
        <f aca="true" t="shared" si="71" ref="AC132:AC139">U132</f>
        <v>4200000</v>
      </c>
      <c r="AD132" s="130"/>
      <c r="AE132" s="132">
        <f aca="true" t="shared" si="72" ref="AE132:AE139">AC132+AD132</f>
        <v>4200000</v>
      </c>
      <c r="AF132" s="129">
        <f aca="true" t="shared" si="73" ref="AF132:AF139">AE132-AA132</f>
        <v>0</v>
      </c>
    </row>
    <row r="133" spans="1:32" ht="12.75">
      <c r="A133" s="37" t="s">
        <v>1317</v>
      </c>
      <c r="B133" s="6"/>
      <c r="C133" s="6">
        <f>7/7*173.5</f>
        <v>173.5</v>
      </c>
      <c r="D133" s="6"/>
      <c r="E133" s="6">
        <f>9/9*-(97+24+9+20)</f>
        <v>-150</v>
      </c>
      <c r="F133" s="6"/>
      <c r="G133" s="6"/>
      <c r="H133" s="6">
        <f t="shared" si="67"/>
        <v>23.5</v>
      </c>
      <c r="J133" s="7">
        <f>10/10*23500</f>
        <v>23500</v>
      </c>
      <c r="K133" s="26">
        <f t="shared" si="68"/>
        <v>1</v>
      </c>
      <c r="L133" s="29"/>
      <c r="M133" s="8"/>
      <c r="N133" s="46">
        <f>7/7*173.5</f>
        <v>173.5</v>
      </c>
      <c r="O133" s="8"/>
      <c r="P133" s="8"/>
      <c r="Q133" s="8"/>
      <c r="R133" s="8"/>
      <c r="S133" s="46">
        <f>SUM(M133:R133)</f>
        <v>173.5</v>
      </c>
      <c r="T133" s="53" t="s">
        <v>1170</v>
      </c>
      <c r="U133" s="7">
        <f>7/7*173500</f>
        <v>173500</v>
      </c>
      <c r="V133" s="26">
        <f>U133/(S133*1000)</f>
        <v>1</v>
      </c>
      <c r="Y133" s="130">
        <f t="shared" si="69"/>
        <v>23500</v>
      </c>
      <c r="Z133" s="130"/>
      <c r="AA133" s="132">
        <f t="shared" si="70"/>
        <v>23500</v>
      </c>
      <c r="AB133" s="154"/>
      <c r="AC133" s="130">
        <f t="shared" si="71"/>
        <v>173500</v>
      </c>
      <c r="AD133" s="130"/>
      <c r="AE133" s="132">
        <f t="shared" si="72"/>
        <v>173500</v>
      </c>
      <c r="AF133" s="129">
        <f t="shared" si="73"/>
        <v>150000</v>
      </c>
    </row>
    <row r="134" spans="1:32" ht="23.25">
      <c r="A134" s="37" t="s">
        <v>1302</v>
      </c>
      <c r="B134" s="6"/>
      <c r="C134" s="6">
        <f>7/7*173.5*0</f>
        <v>0</v>
      </c>
      <c r="D134" s="6"/>
      <c r="E134" s="6">
        <f>9/9*(97+24+9+20)</f>
        <v>150</v>
      </c>
      <c r="F134" s="6"/>
      <c r="G134" s="6"/>
      <c r="H134" s="6">
        <f t="shared" si="67"/>
        <v>150</v>
      </c>
      <c r="J134" s="7">
        <f>10/10*(97000+24000+9000+20000)</f>
        <v>150000</v>
      </c>
      <c r="K134" s="26">
        <f>J134/(H134*1000)</f>
        <v>1</v>
      </c>
      <c r="L134" s="72"/>
      <c r="M134" s="8"/>
      <c r="N134" s="46"/>
      <c r="O134" s="8"/>
      <c r="P134" s="8"/>
      <c r="Q134" s="8"/>
      <c r="R134" s="8"/>
      <c r="S134" s="46"/>
      <c r="T134" s="53"/>
      <c r="U134" s="7"/>
      <c r="V134" s="26"/>
      <c r="Y134" s="130">
        <f t="shared" si="69"/>
        <v>150000</v>
      </c>
      <c r="Z134" s="130"/>
      <c r="AA134" s="132">
        <f t="shared" si="70"/>
        <v>150000</v>
      </c>
      <c r="AB134" s="155"/>
      <c r="AC134" s="130">
        <f t="shared" si="71"/>
        <v>0</v>
      </c>
      <c r="AD134" s="130"/>
      <c r="AE134" s="132">
        <f t="shared" si="72"/>
        <v>0</v>
      </c>
      <c r="AF134" s="129">
        <f t="shared" si="73"/>
        <v>-150000</v>
      </c>
    </row>
    <row r="135" spans="1:32" ht="12.75">
      <c r="A135" s="37" t="s">
        <v>1220</v>
      </c>
      <c r="B135" s="6"/>
      <c r="C135" s="6">
        <f>2/2*55.8</f>
        <v>55.8</v>
      </c>
      <c r="D135" s="6"/>
      <c r="E135" s="6"/>
      <c r="F135" s="6"/>
      <c r="G135" s="6"/>
      <c r="H135" s="6">
        <f t="shared" si="67"/>
        <v>55.8</v>
      </c>
      <c r="J135" s="7">
        <f>4/4*55800</f>
        <v>55800</v>
      </c>
      <c r="K135" s="26">
        <f t="shared" si="68"/>
        <v>1</v>
      </c>
      <c r="M135" s="8"/>
      <c r="N135" s="46">
        <f>2/2*55.8</f>
        <v>55.8</v>
      </c>
      <c r="O135" s="8"/>
      <c r="P135" s="8"/>
      <c r="Q135" s="8"/>
      <c r="R135" s="8"/>
      <c r="S135" s="46">
        <f aca="true" t="shared" si="74" ref="S135:S145">SUM(M135:R135)</f>
        <v>55.8</v>
      </c>
      <c r="T135" s="53" t="s">
        <v>1170</v>
      </c>
      <c r="U135" s="22">
        <f>3/3*55800</f>
        <v>55800</v>
      </c>
      <c r="V135" s="26">
        <f>U135/(S135*1000)</f>
        <v>1</v>
      </c>
      <c r="Y135" s="130">
        <f t="shared" si="69"/>
        <v>55800</v>
      </c>
      <c r="Z135" s="130"/>
      <c r="AA135" s="132">
        <f t="shared" si="70"/>
        <v>55800</v>
      </c>
      <c r="AC135" s="130">
        <f t="shared" si="71"/>
        <v>55800</v>
      </c>
      <c r="AD135" s="130"/>
      <c r="AE135" s="132">
        <f t="shared" si="72"/>
        <v>55800</v>
      </c>
      <c r="AF135" s="129">
        <f t="shared" si="73"/>
        <v>0</v>
      </c>
    </row>
    <row r="136" spans="1:32" ht="12.75" customHeight="1">
      <c r="A136" s="37" t="s">
        <v>1349</v>
      </c>
      <c r="B136" s="6"/>
      <c r="C136" s="6">
        <f>5/5*50</f>
        <v>50</v>
      </c>
      <c r="D136" s="6"/>
      <c r="E136" s="6"/>
      <c r="F136" s="6"/>
      <c r="G136" s="6"/>
      <c r="H136" s="6">
        <f t="shared" si="67"/>
        <v>50</v>
      </c>
      <c r="J136" s="7">
        <f>9/9*5972*0+12/12*38492</f>
        <v>38492</v>
      </c>
      <c r="K136" s="26">
        <f t="shared" si="68"/>
        <v>0.76984</v>
      </c>
      <c r="M136" s="8"/>
      <c r="N136" s="46">
        <f>5/5*50</f>
        <v>50</v>
      </c>
      <c r="O136" s="8"/>
      <c r="P136" s="8"/>
      <c r="Q136" s="8"/>
      <c r="R136" s="8"/>
      <c r="S136" s="46">
        <f t="shared" si="74"/>
        <v>50</v>
      </c>
      <c r="T136" s="53" t="s">
        <v>1170</v>
      </c>
      <c r="U136" s="7">
        <f>5/5*50000</f>
        <v>50000</v>
      </c>
      <c r="V136" s="26">
        <f>U136/(S136*1000)</f>
        <v>1</v>
      </c>
      <c r="Y136" s="130">
        <f t="shared" si="69"/>
        <v>38492</v>
      </c>
      <c r="Z136" s="130"/>
      <c r="AA136" s="132">
        <f t="shared" si="70"/>
        <v>38492</v>
      </c>
      <c r="AC136" s="130">
        <f t="shared" si="71"/>
        <v>50000</v>
      </c>
      <c r="AD136" s="130"/>
      <c r="AE136" s="132">
        <f t="shared" si="72"/>
        <v>50000</v>
      </c>
      <c r="AF136" s="129">
        <f t="shared" si="73"/>
        <v>11508</v>
      </c>
    </row>
    <row r="137" spans="1:32" ht="12.75">
      <c r="A137" s="37" t="s">
        <v>1303</v>
      </c>
      <c r="B137" s="6"/>
      <c r="C137" s="6">
        <f>7/7*72.2</f>
        <v>72.2</v>
      </c>
      <c r="D137" s="6"/>
      <c r="E137" s="6"/>
      <c r="F137" s="6"/>
      <c r="G137" s="6"/>
      <c r="H137" s="6">
        <f t="shared" si="67"/>
        <v>72.2</v>
      </c>
      <c r="J137" s="50">
        <f>72200</f>
        <v>72200</v>
      </c>
      <c r="K137" s="26">
        <f t="shared" si="68"/>
        <v>1</v>
      </c>
      <c r="M137" s="8"/>
      <c r="N137" s="46">
        <f>7/7*72.2</f>
        <v>72.2</v>
      </c>
      <c r="O137" s="8"/>
      <c r="P137" s="8"/>
      <c r="Q137" s="8"/>
      <c r="R137" s="8"/>
      <c r="S137" s="46">
        <f t="shared" si="74"/>
        <v>72.2</v>
      </c>
      <c r="T137" s="53" t="s">
        <v>1170</v>
      </c>
      <c r="U137" s="7">
        <f>7/7*72200</f>
        <v>72200</v>
      </c>
      <c r="V137" s="26">
        <f>U137/(S137*1000)</f>
        <v>1</v>
      </c>
      <c r="Y137" s="130">
        <f t="shared" si="69"/>
        <v>72200</v>
      </c>
      <c r="Z137" s="130"/>
      <c r="AA137" s="132">
        <f t="shared" si="70"/>
        <v>72200</v>
      </c>
      <c r="AC137" s="130">
        <f t="shared" si="71"/>
        <v>72200</v>
      </c>
      <c r="AD137" s="130"/>
      <c r="AE137" s="132">
        <f t="shared" si="72"/>
        <v>72200</v>
      </c>
      <c r="AF137" s="129">
        <f t="shared" si="73"/>
        <v>0</v>
      </c>
    </row>
    <row r="138" spans="1:32" ht="12.75">
      <c r="A138" s="37" t="s">
        <v>1221</v>
      </c>
      <c r="B138" s="6"/>
      <c r="C138" s="6">
        <f>4/4*120</f>
        <v>120</v>
      </c>
      <c r="D138" s="6"/>
      <c r="E138" s="6"/>
      <c r="F138" s="6"/>
      <c r="G138" s="6"/>
      <c r="H138" s="6">
        <f t="shared" si="67"/>
        <v>120</v>
      </c>
      <c r="J138" s="7">
        <f>4/4*1690*0+5/5*29610*0+8/8*56200*0+9/9*53770*0+12/12*83380</f>
        <v>83380</v>
      </c>
      <c r="K138" s="26">
        <f t="shared" si="68"/>
        <v>0.6948333333333333</v>
      </c>
      <c r="M138" s="8"/>
      <c r="N138" s="46">
        <f>4/4*120</f>
        <v>120</v>
      </c>
      <c r="O138" s="8"/>
      <c r="P138" s="8"/>
      <c r="Q138" s="8"/>
      <c r="R138" s="8"/>
      <c r="S138" s="46">
        <f t="shared" si="74"/>
        <v>120</v>
      </c>
      <c r="T138" s="53" t="s">
        <v>1170</v>
      </c>
      <c r="U138" s="22">
        <f>4/4*120000</f>
        <v>120000</v>
      </c>
      <c r="V138" s="26">
        <f aca="true" t="shared" si="75" ref="V138:V144">U138/(S138*1000)</f>
        <v>1</v>
      </c>
      <c r="Y138" s="130">
        <f t="shared" si="69"/>
        <v>83380</v>
      </c>
      <c r="Z138" s="130"/>
      <c r="AA138" s="132">
        <f t="shared" si="70"/>
        <v>83380</v>
      </c>
      <c r="AC138" s="130">
        <f t="shared" si="71"/>
        <v>120000</v>
      </c>
      <c r="AD138" s="130"/>
      <c r="AE138" s="132">
        <f t="shared" si="72"/>
        <v>120000</v>
      </c>
      <c r="AF138" s="129">
        <f t="shared" si="73"/>
        <v>36620</v>
      </c>
    </row>
    <row r="139" spans="1:32" ht="12.75">
      <c r="A139" s="37" t="s">
        <v>1318</v>
      </c>
      <c r="B139" s="6"/>
      <c r="C139" s="6">
        <f>5/5*439.6+11/11*166.3</f>
        <v>605.9000000000001</v>
      </c>
      <c r="D139" s="6"/>
      <c r="E139" s="6"/>
      <c r="F139" s="6"/>
      <c r="G139" s="6"/>
      <c r="H139" s="6">
        <f t="shared" si="67"/>
        <v>605.9000000000001</v>
      </c>
      <c r="J139" s="50">
        <f>439600+11/11*166300</f>
        <v>605900</v>
      </c>
      <c r="K139" s="26">
        <f t="shared" si="68"/>
        <v>0.9999999999999998</v>
      </c>
      <c r="M139" s="8"/>
      <c r="N139" s="46">
        <f>5/5*439.6+11/11*166.3</f>
        <v>605.9000000000001</v>
      </c>
      <c r="O139" s="8"/>
      <c r="P139" s="8"/>
      <c r="Q139" s="8"/>
      <c r="R139" s="8"/>
      <c r="S139" s="100">
        <f t="shared" si="74"/>
        <v>605.9000000000001</v>
      </c>
      <c r="T139" s="53" t="s">
        <v>1170</v>
      </c>
      <c r="U139" s="7">
        <f>5/5*439600+11/11*166300</f>
        <v>605900</v>
      </c>
      <c r="V139" s="26">
        <f t="shared" si="75"/>
        <v>0.9999999999999998</v>
      </c>
      <c r="Y139" s="130">
        <f t="shared" si="69"/>
        <v>605900</v>
      </c>
      <c r="Z139" s="130"/>
      <c r="AA139" s="132">
        <f t="shared" si="70"/>
        <v>605900</v>
      </c>
      <c r="AC139" s="130">
        <f t="shared" si="71"/>
        <v>605900</v>
      </c>
      <c r="AD139" s="130"/>
      <c r="AE139" s="132">
        <f t="shared" si="72"/>
        <v>605900</v>
      </c>
      <c r="AF139" s="129">
        <f t="shared" si="73"/>
        <v>0</v>
      </c>
    </row>
    <row r="140" spans="1:22" ht="12.75" hidden="1">
      <c r="A140" s="37" t="s">
        <v>1240</v>
      </c>
      <c r="B140" s="6"/>
      <c r="C140" s="6"/>
      <c r="D140" s="6"/>
      <c r="E140" s="6"/>
      <c r="F140" s="6"/>
      <c r="G140" s="6"/>
      <c r="H140" s="6">
        <f t="shared" si="67"/>
        <v>0</v>
      </c>
      <c r="J140" s="50"/>
      <c r="M140" s="8"/>
      <c r="N140" s="46"/>
      <c r="O140" s="8"/>
      <c r="P140" s="8"/>
      <c r="Q140" s="8"/>
      <c r="R140" s="8"/>
      <c r="S140" s="100">
        <f t="shared" si="74"/>
        <v>0</v>
      </c>
      <c r="T140" s="53" t="s">
        <v>1170</v>
      </c>
      <c r="U140" s="7"/>
      <c r="V140" s="26" t="e">
        <f t="shared" si="75"/>
        <v>#DIV/0!</v>
      </c>
    </row>
    <row r="141" spans="1:32" ht="12.75">
      <c r="A141" s="37" t="s">
        <v>1247</v>
      </c>
      <c r="B141" s="6"/>
      <c r="C141" s="6">
        <f>5/5*212.1</f>
        <v>212.1</v>
      </c>
      <c r="D141" s="6"/>
      <c r="E141" s="6"/>
      <c r="F141" s="6"/>
      <c r="G141" s="6"/>
      <c r="H141" s="6">
        <f t="shared" si="67"/>
        <v>212.1</v>
      </c>
      <c r="J141" s="50">
        <f>212100/2+50+10/10*(212100/2-50)</f>
        <v>212100</v>
      </c>
      <c r="K141" s="26">
        <f aca="true" t="shared" si="76" ref="K141:K148">J141/(H141*1000)</f>
        <v>1</v>
      </c>
      <c r="L141" s="29">
        <f>SUM(H141:H143)</f>
        <v>544.2</v>
      </c>
      <c r="M141" s="8"/>
      <c r="N141" s="46">
        <f>5/5*212.1</f>
        <v>212.1</v>
      </c>
      <c r="O141" s="8"/>
      <c r="P141" s="8"/>
      <c r="Q141" s="8"/>
      <c r="R141" s="8"/>
      <c r="S141" s="100">
        <f t="shared" si="74"/>
        <v>212.1</v>
      </c>
      <c r="T141" s="53" t="s">
        <v>1170</v>
      </c>
      <c r="U141" s="7">
        <f>7/7*S141*1000/2+50+10/10*S141*1000/2-50</f>
        <v>212100</v>
      </c>
      <c r="V141" s="26">
        <f t="shared" si="75"/>
        <v>1</v>
      </c>
      <c r="Y141" s="130">
        <f aca="true" t="shared" si="77" ref="Y141:Y154">J141</f>
        <v>212100</v>
      </c>
      <c r="Z141" s="130"/>
      <c r="AA141" s="132">
        <f aca="true" t="shared" si="78" ref="AA141:AA154">Y141+Z141</f>
        <v>212100</v>
      </c>
      <c r="AC141" s="130">
        <f aca="true" t="shared" si="79" ref="AC141:AC154">U141</f>
        <v>212100</v>
      </c>
      <c r="AD141" s="130"/>
      <c r="AE141" s="132">
        <f aca="true" t="shared" si="80" ref="AE141:AE154">AC141+AD141</f>
        <v>212100</v>
      </c>
      <c r="AF141" s="129">
        <f aca="true" t="shared" si="81" ref="AF141:AF154">AE141-AA141</f>
        <v>0</v>
      </c>
    </row>
    <row r="142" spans="1:32" ht="12.75">
      <c r="A142" s="37" t="s">
        <v>1248</v>
      </c>
      <c r="B142" s="6"/>
      <c r="C142" s="6">
        <f>5/5*282</f>
        <v>282</v>
      </c>
      <c r="D142" s="6"/>
      <c r="E142" s="6"/>
      <c r="F142" s="6"/>
      <c r="G142" s="6"/>
      <c r="H142" s="6">
        <f t="shared" si="67"/>
        <v>282</v>
      </c>
      <c r="J142" s="50">
        <f>282000/2+100+10/10*(282000/2-100)</f>
        <v>282000</v>
      </c>
      <c r="K142" s="26">
        <f t="shared" si="76"/>
        <v>1</v>
      </c>
      <c r="M142" s="8"/>
      <c r="N142" s="46">
        <f>5/5*282</f>
        <v>282</v>
      </c>
      <c r="O142" s="8"/>
      <c r="P142" s="8"/>
      <c r="Q142" s="8"/>
      <c r="R142" s="8"/>
      <c r="S142" s="100">
        <f t="shared" si="74"/>
        <v>282</v>
      </c>
      <c r="T142" s="53" t="s">
        <v>1170</v>
      </c>
      <c r="U142" s="7">
        <f>7/7*S142*1000/2+100+10/10*S142*1000/2-100</f>
        <v>282000</v>
      </c>
      <c r="V142" s="26">
        <f t="shared" si="75"/>
        <v>1</v>
      </c>
      <c r="Y142" s="130">
        <f t="shared" si="77"/>
        <v>282000</v>
      </c>
      <c r="Z142" s="130"/>
      <c r="AA142" s="132">
        <f t="shared" si="78"/>
        <v>282000</v>
      </c>
      <c r="AC142" s="130">
        <f t="shared" si="79"/>
        <v>282000</v>
      </c>
      <c r="AD142" s="130"/>
      <c r="AE142" s="132">
        <f t="shared" si="80"/>
        <v>282000</v>
      </c>
      <c r="AF142" s="129">
        <f t="shared" si="81"/>
        <v>0</v>
      </c>
    </row>
    <row r="143" spans="1:32" ht="12.75">
      <c r="A143" s="37" t="s">
        <v>1249</v>
      </c>
      <c r="B143" s="6"/>
      <c r="C143" s="6">
        <f>5/5*50.1</f>
        <v>50.1</v>
      </c>
      <c r="D143" s="6"/>
      <c r="E143" s="6"/>
      <c r="F143" s="6"/>
      <c r="G143" s="6"/>
      <c r="H143" s="6">
        <f t="shared" si="67"/>
        <v>50.1</v>
      </c>
      <c r="J143" s="50">
        <f>50100/2+50+10/10*(50100/2-50)</f>
        <v>50100</v>
      </c>
      <c r="K143" s="26">
        <f t="shared" si="76"/>
        <v>1</v>
      </c>
      <c r="M143" s="8"/>
      <c r="N143" s="46">
        <f>5/5*50.1</f>
        <v>50.1</v>
      </c>
      <c r="O143" s="8"/>
      <c r="P143" s="8"/>
      <c r="Q143" s="8"/>
      <c r="R143" s="8"/>
      <c r="S143" s="100">
        <f t="shared" si="74"/>
        <v>50.1</v>
      </c>
      <c r="T143" s="53" t="s">
        <v>1170</v>
      </c>
      <c r="U143" s="7">
        <f>7/7*S143*1000/2+50+10/10*S143*1000/2-50</f>
        <v>50100</v>
      </c>
      <c r="V143" s="26">
        <f t="shared" si="75"/>
        <v>1</v>
      </c>
      <c r="Y143" s="130">
        <f t="shared" si="77"/>
        <v>50100</v>
      </c>
      <c r="Z143" s="130"/>
      <c r="AA143" s="132">
        <f t="shared" si="78"/>
        <v>50100</v>
      </c>
      <c r="AC143" s="130">
        <f t="shared" si="79"/>
        <v>50100</v>
      </c>
      <c r="AD143" s="130"/>
      <c r="AE143" s="132">
        <f t="shared" si="80"/>
        <v>50100</v>
      </c>
      <c r="AF143" s="129">
        <f t="shared" si="81"/>
        <v>0</v>
      </c>
    </row>
    <row r="144" spans="1:32" ht="12.75">
      <c r="A144" s="37" t="s">
        <v>1319</v>
      </c>
      <c r="B144" s="6"/>
      <c r="C144" s="6">
        <f>5/5*4000</f>
        <v>4000</v>
      </c>
      <c r="D144" s="6"/>
      <c r="E144" s="6"/>
      <c r="F144" s="6"/>
      <c r="G144" s="6"/>
      <c r="H144" s="6">
        <f t="shared" si="67"/>
        <v>4000</v>
      </c>
      <c r="J144" s="7">
        <f>6/6*103200*0+7/7*103860+12/12*(3890576+1100/1100*126960-16/16*121396)</f>
        <v>4000000</v>
      </c>
      <c r="K144" s="26">
        <f t="shared" si="76"/>
        <v>1</v>
      </c>
      <c r="L144" s="67" t="s">
        <v>1286</v>
      </c>
      <c r="M144" s="8"/>
      <c r="N144" s="46">
        <f>5/5*4000</f>
        <v>4000</v>
      </c>
      <c r="O144" s="8"/>
      <c r="P144" s="8"/>
      <c r="Q144" s="8"/>
      <c r="R144" s="8"/>
      <c r="S144" s="100">
        <f t="shared" si="74"/>
        <v>4000</v>
      </c>
      <c r="T144" s="53" t="s">
        <v>1170</v>
      </c>
      <c r="U144" s="29">
        <f>(5/5*0+7/7)*4000000</f>
        <v>4000000</v>
      </c>
      <c r="V144" s="26">
        <f t="shared" si="75"/>
        <v>1</v>
      </c>
      <c r="Y144" s="130">
        <f t="shared" si="77"/>
        <v>4000000</v>
      </c>
      <c r="Z144" s="130"/>
      <c r="AA144" s="132">
        <f t="shared" si="78"/>
        <v>4000000</v>
      </c>
      <c r="AB144" s="131" t="s">
        <v>1286</v>
      </c>
      <c r="AC144" s="130">
        <f t="shared" si="79"/>
        <v>4000000</v>
      </c>
      <c r="AD144" s="130"/>
      <c r="AE144" s="132">
        <f t="shared" si="80"/>
        <v>4000000</v>
      </c>
      <c r="AF144" s="129">
        <f t="shared" si="81"/>
        <v>0</v>
      </c>
    </row>
    <row r="145" spans="1:32" ht="21.75">
      <c r="A145" s="37" t="s">
        <v>1320</v>
      </c>
      <c r="B145" s="6"/>
      <c r="C145" s="6">
        <f>4/4*2707.6</f>
        <v>2707.6</v>
      </c>
      <c r="D145" s="6"/>
      <c r="E145" s="6"/>
      <c r="F145" s="6"/>
      <c r="G145" s="6"/>
      <c r="H145" s="6">
        <f t="shared" si="67"/>
        <v>2707.6</v>
      </c>
      <c r="J145" s="50">
        <f>4/4*2707570.8</f>
        <v>2707570.8</v>
      </c>
      <c r="K145" s="26">
        <f t="shared" si="76"/>
        <v>0.9999892155414388</v>
      </c>
      <c r="M145" s="8"/>
      <c r="N145" s="46">
        <f>4/4*2707.6*2011/2011*(0+2012/2012)*0</f>
        <v>0</v>
      </c>
      <c r="O145" s="8"/>
      <c r="P145" s="8"/>
      <c r="Q145" s="8"/>
      <c r="R145" s="8"/>
      <c r="S145" s="100">
        <f t="shared" si="74"/>
        <v>0</v>
      </c>
      <c r="T145" s="53" t="s">
        <v>1170</v>
      </c>
      <c r="U145" s="22"/>
      <c r="V145" s="26"/>
      <c r="Y145" s="130">
        <f t="shared" si="77"/>
        <v>2707570.8</v>
      </c>
      <c r="Z145" s="130"/>
      <c r="AA145" s="132">
        <f t="shared" si="78"/>
        <v>2707570.8</v>
      </c>
      <c r="AC145" s="130">
        <f t="shared" si="79"/>
        <v>0</v>
      </c>
      <c r="AD145" s="130"/>
      <c r="AE145" s="132">
        <f t="shared" si="80"/>
        <v>0</v>
      </c>
      <c r="AF145" s="129">
        <f t="shared" si="81"/>
        <v>-2707570.8</v>
      </c>
    </row>
    <row r="146" spans="1:32" ht="12.75">
      <c r="A146" s="37" t="s">
        <v>1251</v>
      </c>
      <c r="B146" s="6"/>
      <c r="C146" s="6">
        <f>7/7*118</f>
        <v>118</v>
      </c>
      <c r="D146" s="6"/>
      <c r="E146" s="6"/>
      <c r="F146" s="6"/>
      <c r="G146" s="6"/>
      <c r="H146" s="6">
        <f t="shared" si="67"/>
        <v>118</v>
      </c>
      <c r="J146" s="50">
        <f>8/8*90790*0+(35000+15790+(15000*0+25000)+5000+(20000*0+30000))</f>
        <v>110790</v>
      </c>
      <c r="K146" s="26">
        <f t="shared" si="76"/>
        <v>0.9388983050847458</v>
      </c>
      <c r="M146" s="8"/>
      <c r="N146" s="46">
        <f>7/7*118</f>
        <v>118</v>
      </c>
      <c r="O146" s="46"/>
      <c r="P146" s="46"/>
      <c r="Q146" s="46"/>
      <c r="R146" s="46"/>
      <c r="S146" s="46">
        <f aca="true" t="shared" si="82" ref="S146:S154">SUM(M146:R146)</f>
        <v>118</v>
      </c>
      <c r="T146" s="3"/>
      <c r="U146" s="7">
        <f>7/7*118000</f>
        <v>118000</v>
      </c>
      <c r="V146" s="26">
        <f>U146/(S146*1000)</f>
        <v>1</v>
      </c>
      <c r="Y146" s="130">
        <f t="shared" si="77"/>
        <v>110790</v>
      </c>
      <c r="Z146" s="130"/>
      <c r="AA146" s="132">
        <f t="shared" si="78"/>
        <v>110790</v>
      </c>
      <c r="AB146" s="131"/>
      <c r="AC146" s="130">
        <f t="shared" si="79"/>
        <v>118000</v>
      </c>
      <c r="AD146" s="130"/>
      <c r="AE146" s="132">
        <f t="shared" si="80"/>
        <v>118000</v>
      </c>
      <c r="AF146" s="129">
        <f t="shared" si="81"/>
        <v>7210</v>
      </c>
    </row>
    <row r="147" spans="1:32" ht="12.75">
      <c r="A147" s="37" t="s">
        <v>1328</v>
      </c>
      <c r="B147" s="6"/>
      <c r="C147" s="6">
        <f>12/12*140.6</f>
        <v>140.6</v>
      </c>
      <c r="D147" s="6"/>
      <c r="E147" s="6"/>
      <c r="F147" s="6"/>
      <c r="G147" s="6"/>
      <c r="H147" s="6">
        <f t="shared" si="67"/>
        <v>140.6</v>
      </c>
      <c r="J147" s="50">
        <v>140600</v>
      </c>
      <c r="K147" s="26">
        <f t="shared" si="76"/>
        <v>1</v>
      </c>
      <c r="L147" s="82"/>
      <c r="M147" s="8"/>
      <c r="N147" s="46">
        <f>12/12*140.6</f>
        <v>140.6</v>
      </c>
      <c r="O147" s="46"/>
      <c r="P147" s="46"/>
      <c r="Q147" s="46"/>
      <c r="R147" s="46"/>
      <c r="S147" s="46">
        <f t="shared" si="82"/>
        <v>140.6</v>
      </c>
      <c r="T147" s="3"/>
      <c r="U147" s="50">
        <v>140600</v>
      </c>
      <c r="V147" s="26">
        <f>U147/(S147*1000)</f>
        <v>1</v>
      </c>
      <c r="Y147" s="137">
        <f t="shared" si="77"/>
        <v>140600</v>
      </c>
      <c r="Z147" s="137"/>
      <c r="AA147" s="156">
        <f t="shared" si="78"/>
        <v>140600</v>
      </c>
      <c r="AB147" s="157" t="s">
        <v>1343</v>
      </c>
      <c r="AC147" s="137">
        <f t="shared" si="79"/>
        <v>140600</v>
      </c>
      <c r="AD147" s="137"/>
      <c r="AE147" s="156">
        <f t="shared" si="80"/>
        <v>140600</v>
      </c>
      <c r="AF147" s="129">
        <f t="shared" si="81"/>
        <v>0</v>
      </c>
    </row>
    <row r="148" spans="1:32" ht="12.75">
      <c r="A148" s="37" t="s">
        <v>1329</v>
      </c>
      <c r="B148" s="6"/>
      <c r="C148" s="6">
        <f>12/12*60</f>
        <v>60</v>
      </c>
      <c r="D148" s="6"/>
      <c r="E148" s="6"/>
      <c r="F148" s="6"/>
      <c r="G148" s="6"/>
      <c r="H148" s="112">
        <f t="shared" si="67"/>
        <v>60</v>
      </c>
      <c r="J148" s="50">
        <v>60000</v>
      </c>
      <c r="K148" s="26">
        <f t="shared" si="76"/>
        <v>1</v>
      </c>
      <c r="L148" s="82"/>
      <c r="M148" s="8"/>
      <c r="N148" s="46">
        <f>12/12*60</f>
        <v>60</v>
      </c>
      <c r="O148" s="46"/>
      <c r="P148" s="46"/>
      <c r="Q148" s="46"/>
      <c r="R148" s="46"/>
      <c r="S148" s="46">
        <f t="shared" si="82"/>
        <v>60</v>
      </c>
      <c r="T148" s="3"/>
      <c r="U148" s="50">
        <v>60000</v>
      </c>
      <c r="V148" s="26">
        <f>U148/(S148*1000)</f>
        <v>1</v>
      </c>
      <c r="Y148" s="137">
        <f t="shared" si="77"/>
        <v>60000</v>
      </c>
      <c r="Z148" s="137"/>
      <c r="AA148" s="156">
        <f t="shared" si="78"/>
        <v>60000</v>
      </c>
      <c r="AB148" s="157" t="s">
        <v>1344</v>
      </c>
      <c r="AC148" s="137">
        <f t="shared" si="79"/>
        <v>60000</v>
      </c>
      <c r="AD148" s="137"/>
      <c r="AE148" s="156">
        <f t="shared" si="80"/>
        <v>60000</v>
      </c>
      <c r="AF148" s="129">
        <f t="shared" si="81"/>
        <v>0</v>
      </c>
    </row>
    <row r="149" spans="1:32" ht="24">
      <c r="A149" s="37" t="s">
        <v>1283</v>
      </c>
      <c r="B149" s="6"/>
      <c r="C149" s="6">
        <f>12/12*42*0+3113/3113*(5171/5171*35+102/102*5169/5169*7)</f>
        <v>42</v>
      </c>
      <c r="D149" s="6"/>
      <c r="E149" s="6"/>
      <c r="F149" s="6"/>
      <c r="G149" s="6"/>
      <c r="H149" s="6">
        <f t="shared" si="67"/>
        <v>42</v>
      </c>
      <c r="J149" s="50">
        <f>12/12*35000+7000</f>
        <v>42000</v>
      </c>
      <c r="K149" s="26">
        <f aca="true" t="shared" si="83" ref="K149:K154">J149/(H149*1000)</f>
        <v>1</v>
      </c>
      <c r="L149" s="82"/>
      <c r="M149" s="8"/>
      <c r="N149" s="46">
        <f>12/12*42*0+3113/3113*(5171/5171*35+102/102*5169/5169*7)</f>
        <v>42</v>
      </c>
      <c r="O149" s="46"/>
      <c r="P149" s="46"/>
      <c r="Q149" s="46"/>
      <c r="R149" s="46"/>
      <c r="S149" s="46">
        <f t="shared" si="82"/>
        <v>42</v>
      </c>
      <c r="T149" s="3"/>
      <c r="U149" s="50">
        <f>12/12*35000+7000</f>
        <v>42000</v>
      </c>
      <c r="V149" s="26">
        <f aca="true" t="shared" si="84" ref="V149:V154">U149/(S149*1000)</f>
        <v>1</v>
      </c>
      <c r="Y149" s="137">
        <f t="shared" si="77"/>
        <v>42000</v>
      </c>
      <c r="Z149" s="137"/>
      <c r="AA149" s="156">
        <f t="shared" si="78"/>
        <v>42000</v>
      </c>
      <c r="AB149" s="157">
        <f>SUM(AE147:AE154)</f>
        <v>740800</v>
      </c>
      <c r="AC149" s="137">
        <f t="shared" si="79"/>
        <v>42000</v>
      </c>
      <c r="AD149" s="137"/>
      <c r="AE149" s="156">
        <f t="shared" si="80"/>
        <v>42000</v>
      </c>
      <c r="AF149" s="129">
        <f t="shared" si="81"/>
        <v>0</v>
      </c>
    </row>
    <row r="150" spans="1:32" ht="24">
      <c r="A150" s="37" t="s">
        <v>1330</v>
      </c>
      <c r="B150" s="6"/>
      <c r="C150" s="6">
        <f>12/12*498.2*0+((4329/4329*5139/5139*13+69/69*8.7+94/94*7+901/901*45)+708/708*8)</f>
        <v>81.7</v>
      </c>
      <c r="D150" s="6"/>
      <c r="E150" s="6"/>
      <c r="F150" s="6"/>
      <c r="G150" s="6"/>
      <c r="H150" s="6">
        <f t="shared" si="67"/>
        <v>81.7</v>
      </c>
      <c r="J150" s="50">
        <f>12/12*(12812+8491+7100+0+708/708*5880)</f>
        <v>34283</v>
      </c>
      <c r="K150" s="26">
        <f t="shared" si="83"/>
        <v>0.4196205630354957</v>
      </c>
      <c r="L150" s="82">
        <f>SUM(H150:H154)</f>
        <v>498.2</v>
      </c>
      <c r="M150" s="8"/>
      <c r="N150" s="46">
        <f>12/12*498.2*0+((4329/4329*5139/5139*13+69/69*8.7+94/94*7+901/901*45)+708/708*8)</f>
        <v>81.7</v>
      </c>
      <c r="O150" s="46"/>
      <c r="P150" s="46"/>
      <c r="Q150" s="46"/>
      <c r="R150" s="46"/>
      <c r="S150" s="46">
        <f t="shared" si="82"/>
        <v>81.7</v>
      </c>
      <c r="T150" s="3"/>
      <c r="U150" s="50">
        <v>81700</v>
      </c>
      <c r="V150" s="26">
        <f t="shared" si="84"/>
        <v>1</v>
      </c>
      <c r="Y150" s="137">
        <f t="shared" si="77"/>
        <v>34283</v>
      </c>
      <c r="Z150" s="137"/>
      <c r="AA150" s="156">
        <f t="shared" si="78"/>
        <v>34283</v>
      </c>
      <c r="AB150" s="157" t="s">
        <v>1345</v>
      </c>
      <c r="AC150" s="137">
        <f t="shared" si="79"/>
        <v>81700</v>
      </c>
      <c r="AD150" s="137"/>
      <c r="AE150" s="156">
        <f t="shared" si="80"/>
        <v>81700</v>
      </c>
      <c r="AF150" s="129">
        <f t="shared" si="81"/>
        <v>47417</v>
      </c>
    </row>
    <row r="151" spans="1:32" ht="24">
      <c r="A151" s="37" t="s">
        <v>1331</v>
      </c>
      <c r="B151" s="6"/>
      <c r="C151" s="6">
        <f>12/12*498.2*0+(4379/4379*5194/5194*37+901/901*82.8)</f>
        <v>119.8</v>
      </c>
      <c r="D151" s="6"/>
      <c r="E151" s="6"/>
      <c r="F151" s="6"/>
      <c r="G151" s="6"/>
      <c r="H151" s="6">
        <f t="shared" si="67"/>
        <v>119.8</v>
      </c>
      <c r="J151" s="50">
        <f>12/12*(37204+0)</f>
        <v>37204</v>
      </c>
      <c r="K151" s="26">
        <f t="shared" si="83"/>
        <v>0.310550918196995</v>
      </c>
      <c r="L151" s="82">
        <f>SUM(J150:J154)</f>
        <v>242700</v>
      </c>
      <c r="M151" s="8"/>
      <c r="N151" s="46">
        <f>12/12*498.2*0+(4379/4379*5194/5194*37+901/901*82.8)</f>
        <v>119.8</v>
      </c>
      <c r="O151" s="46"/>
      <c r="P151" s="46"/>
      <c r="Q151" s="46"/>
      <c r="R151" s="46"/>
      <c r="S151" s="46">
        <f t="shared" si="82"/>
        <v>119.8</v>
      </c>
      <c r="T151" s="3"/>
      <c r="U151" s="50">
        <v>119800</v>
      </c>
      <c r="V151" s="26">
        <f t="shared" si="84"/>
        <v>1</v>
      </c>
      <c r="Y151" s="137">
        <f t="shared" si="77"/>
        <v>37204</v>
      </c>
      <c r="Z151" s="137"/>
      <c r="AA151" s="156">
        <f t="shared" si="78"/>
        <v>37204</v>
      </c>
      <c r="AB151" s="157">
        <f>SUM(AA147:AA154)</f>
        <v>485300</v>
      </c>
      <c r="AC151" s="137">
        <f t="shared" si="79"/>
        <v>119800</v>
      </c>
      <c r="AD151" s="137"/>
      <c r="AE151" s="156">
        <f t="shared" si="80"/>
        <v>119800</v>
      </c>
      <c r="AF151" s="129">
        <f t="shared" si="81"/>
        <v>82596</v>
      </c>
    </row>
    <row r="152" spans="1:32" ht="24">
      <c r="A152" s="37" t="s">
        <v>1332</v>
      </c>
      <c r="B152" s="6"/>
      <c r="C152" s="6">
        <f>12/12*498.2*0+(3419/3419*901/901*127.7)</f>
        <v>127.7</v>
      </c>
      <c r="D152" s="6"/>
      <c r="E152" s="6"/>
      <c r="F152" s="6"/>
      <c r="G152" s="6"/>
      <c r="H152" s="6">
        <f t="shared" si="67"/>
        <v>127.7</v>
      </c>
      <c r="J152" s="50">
        <f>12/12*(0)</f>
        <v>0</v>
      </c>
      <c r="K152" s="26">
        <f t="shared" si="83"/>
        <v>0</v>
      </c>
      <c r="L152" s="82"/>
      <c r="M152" s="8"/>
      <c r="N152" s="46">
        <f>12/12*498.2*0+(3419/3419*901/901*127.7)</f>
        <v>127.7</v>
      </c>
      <c r="O152" s="46"/>
      <c r="P152" s="46"/>
      <c r="Q152" s="46"/>
      <c r="R152" s="46"/>
      <c r="S152" s="46">
        <f t="shared" si="82"/>
        <v>127.7</v>
      </c>
      <c r="T152" s="3"/>
      <c r="U152" s="50">
        <v>127700</v>
      </c>
      <c r="V152" s="26">
        <f t="shared" si="84"/>
        <v>1</v>
      </c>
      <c r="Y152" s="137">
        <f t="shared" si="77"/>
        <v>0</v>
      </c>
      <c r="Z152" s="137"/>
      <c r="AA152" s="156">
        <f t="shared" si="78"/>
        <v>0</v>
      </c>
      <c r="AB152" s="157" t="s">
        <v>1346</v>
      </c>
      <c r="AC152" s="137">
        <f t="shared" si="79"/>
        <v>127700</v>
      </c>
      <c r="AD152" s="137"/>
      <c r="AE152" s="156">
        <f t="shared" si="80"/>
        <v>127700</v>
      </c>
      <c r="AF152" s="129">
        <f t="shared" si="81"/>
        <v>127700</v>
      </c>
    </row>
    <row r="153" spans="1:32" ht="24">
      <c r="A153" s="37" t="s">
        <v>1333</v>
      </c>
      <c r="B153" s="6"/>
      <c r="C153" s="6">
        <f>12/12*498.2*0+(3421/3421*5139/5139*7+71/71*76)</f>
        <v>83</v>
      </c>
      <c r="D153" s="6"/>
      <c r="E153" s="6"/>
      <c r="F153" s="6"/>
      <c r="G153" s="6"/>
      <c r="H153" s="6">
        <f t="shared" si="67"/>
        <v>83</v>
      </c>
      <c r="J153" s="50">
        <f>12/12*(6735+75502)</f>
        <v>82237</v>
      </c>
      <c r="K153" s="26">
        <f t="shared" si="83"/>
        <v>0.9908072289156626</v>
      </c>
      <c r="L153" s="82"/>
      <c r="M153" s="8"/>
      <c r="N153" s="46">
        <f>12/12*498.2*0+(3421/3421*5139/5139*7+71/71*76)</f>
        <v>83</v>
      </c>
      <c r="O153" s="46"/>
      <c r="P153" s="46"/>
      <c r="Q153" s="46"/>
      <c r="R153" s="46"/>
      <c r="S153" s="46">
        <f t="shared" si="82"/>
        <v>83</v>
      </c>
      <c r="T153" s="3"/>
      <c r="U153" s="50">
        <v>83000</v>
      </c>
      <c r="V153" s="26">
        <f t="shared" si="84"/>
        <v>1</v>
      </c>
      <c r="Y153" s="137">
        <f t="shared" si="77"/>
        <v>82237</v>
      </c>
      <c r="Z153" s="137"/>
      <c r="AA153" s="156">
        <f t="shared" si="78"/>
        <v>82237</v>
      </c>
      <c r="AB153" s="157">
        <f>AB149-AB151</f>
        <v>255500</v>
      </c>
      <c r="AC153" s="137">
        <f t="shared" si="79"/>
        <v>83000</v>
      </c>
      <c r="AD153" s="137"/>
      <c r="AE153" s="156">
        <f t="shared" si="80"/>
        <v>83000</v>
      </c>
      <c r="AF153" s="129">
        <f t="shared" si="81"/>
        <v>763</v>
      </c>
    </row>
    <row r="154" spans="1:32" ht="23.25">
      <c r="A154" s="37" t="s">
        <v>1334</v>
      </c>
      <c r="B154" s="6"/>
      <c r="C154" s="6">
        <f>12/12*498.2*0+(3319/3319*41534/41534*6121/6121*86)</f>
        <v>86</v>
      </c>
      <c r="D154" s="6"/>
      <c r="E154" s="6"/>
      <c r="F154" s="6"/>
      <c r="G154" s="6"/>
      <c r="H154" s="6">
        <f t="shared" si="67"/>
        <v>86</v>
      </c>
      <c r="J154" s="50">
        <f>12/12*(88976)</f>
        <v>88976</v>
      </c>
      <c r="K154" s="26">
        <f t="shared" si="83"/>
        <v>1.0346046511627907</v>
      </c>
      <c r="L154" s="89" t="s">
        <v>1284</v>
      </c>
      <c r="M154" s="8"/>
      <c r="N154" s="46">
        <f>12/12*498.2*0+(3319/3319*41534/41534*6121/6121*86)</f>
        <v>86</v>
      </c>
      <c r="O154" s="46"/>
      <c r="P154" s="46"/>
      <c r="Q154" s="46"/>
      <c r="R154" s="46"/>
      <c r="S154" s="46">
        <f t="shared" si="82"/>
        <v>86</v>
      </c>
      <c r="T154" s="3"/>
      <c r="U154" s="50">
        <v>86000</v>
      </c>
      <c r="V154" s="26">
        <f t="shared" si="84"/>
        <v>1</v>
      </c>
      <c r="Y154" s="137">
        <f t="shared" si="77"/>
        <v>88976</v>
      </c>
      <c r="Z154" s="137"/>
      <c r="AA154" s="156">
        <f t="shared" si="78"/>
        <v>88976</v>
      </c>
      <c r="AB154" s="157">
        <f>127700+127800</f>
        <v>255500</v>
      </c>
      <c r="AC154" s="137">
        <f t="shared" si="79"/>
        <v>86000</v>
      </c>
      <c r="AD154" s="137"/>
      <c r="AE154" s="156">
        <f t="shared" si="80"/>
        <v>86000</v>
      </c>
      <c r="AF154" s="129">
        <f t="shared" si="81"/>
        <v>-2976</v>
      </c>
    </row>
    <row r="155" spans="1:28" ht="12.75">
      <c r="A155" s="37"/>
      <c r="B155" s="6"/>
      <c r="C155" s="6"/>
      <c r="D155" s="6"/>
      <c r="E155" s="6"/>
      <c r="F155" s="6"/>
      <c r="G155" s="6"/>
      <c r="H155" s="6"/>
      <c r="J155" s="50"/>
      <c r="L155" s="89">
        <f>SUM(J147:J154)</f>
        <v>485300</v>
      </c>
      <c r="M155" s="8"/>
      <c r="N155" s="46"/>
      <c r="O155" s="46"/>
      <c r="P155" s="46"/>
      <c r="Q155" s="46"/>
      <c r="R155" s="46"/>
      <c r="S155" s="46"/>
      <c r="T155" s="3"/>
      <c r="U155" s="50"/>
      <c r="V155" s="26"/>
      <c r="AB155" s="131"/>
    </row>
    <row r="156" spans="8:28" ht="12.75" hidden="1">
      <c r="H156" s="51">
        <f>SUM(B156:G156)</f>
        <v>0</v>
      </c>
      <c r="L156" s="7"/>
      <c r="M156" s="8"/>
      <c r="N156" s="8"/>
      <c r="O156" s="8"/>
      <c r="P156" s="8"/>
      <c r="Q156" s="8"/>
      <c r="R156" s="8"/>
      <c r="S156" s="46">
        <f>SUM(M156:R156)</f>
        <v>0</v>
      </c>
      <c r="T156" s="53" t="s">
        <v>1170</v>
      </c>
      <c r="U156" s="22"/>
      <c r="V156" s="26"/>
      <c r="AB156" s="131"/>
    </row>
    <row r="157" spans="1:32" s="57" customFormat="1" ht="12.75">
      <c r="A157" s="19" t="s">
        <v>1174</v>
      </c>
      <c r="B157" s="118">
        <f aca="true" t="shared" si="85" ref="B157:H157">SUM(B116:B156)</f>
        <v>0</v>
      </c>
      <c r="C157" s="118">
        <f t="shared" si="85"/>
        <v>16300.300000000003</v>
      </c>
      <c r="D157" s="118">
        <f t="shared" si="85"/>
        <v>0</v>
      </c>
      <c r="E157" s="118">
        <f t="shared" si="85"/>
        <v>0</v>
      </c>
      <c r="F157" s="118">
        <f t="shared" si="85"/>
        <v>0</v>
      </c>
      <c r="G157" s="118">
        <f t="shared" si="85"/>
        <v>0</v>
      </c>
      <c r="H157" s="118">
        <f t="shared" si="85"/>
        <v>16300.300000000003</v>
      </c>
      <c r="I157" s="3"/>
      <c r="J157" s="24">
        <f>SUM(J116:J156)</f>
        <v>16210930.27</v>
      </c>
      <c r="K157" s="42">
        <f>J157/(H157*1000)</f>
        <v>0.9945172953872012</v>
      </c>
      <c r="L157" s="11"/>
      <c r="M157" s="45">
        <f aca="true" t="shared" si="86" ref="M157:R157">SUM(M116:M156)</f>
        <v>0</v>
      </c>
      <c r="N157" s="45">
        <f t="shared" si="86"/>
        <v>13592.700000000003</v>
      </c>
      <c r="O157" s="45">
        <f t="shared" si="86"/>
        <v>0</v>
      </c>
      <c r="P157" s="45">
        <f t="shared" si="86"/>
        <v>0</v>
      </c>
      <c r="Q157" s="45">
        <f t="shared" si="86"/>
        <v>0</v>
      </c>
      <c r="R157" s="45">
        <f t="shared" si="86"/>
        <v>0</v>
      </c>
      <c r="S157" s="45">
        <f>SUM(S118:S156)</f>
        <v>13592.700000000003</v>
      </c>
      <c r="T157" s="3"/>
      <c r="U157" s="40">
        <f>SUM(U116:U130,U132:U156)</f>
        <v>13592641</v>
      </c>
      <c r="V157" s="27">
        <f>U157/(S157*1000)</f>
        <v>0.9999956594348436</v>
      </c>
      <c r="Y157" s="152">
        <f>SUM(Y115:Y155)</f>
        <v>16210930.27</v>
      </c>
      <c r="Z157" s="152">
        <f aca="true" t="shared" si="87" ref="Z157:AE157">SUM(Z115:Z155)</f>
        <v>0</v>
      </c>
      <c r="AA157" s="152">
        <f t="shared" si="87"/>
        <v>16210930.27</v>
      </c>
      <c r="AB157" s="158"/>
      <c r="AC157" s="152">
        <f t="shared" si="87"/>
        <v>13592641</v>
      </c>
      <c r="AD157" s="152">
        <f t="shared" si="87"/>
        <v>0</v>
      </c>
      <c r="AE157" s="152">
        <f t="shared" si="87"/>
        <v>13592641</v>
      </c>
      <c r="AF157" s="129">
        <f>AE157-AA157</f>
        <v>-2618289.2699999996</v>
      </c>
    </row>
    <row r="158" spans="1:32" s="120" customFormat="1" ht="12.75">
      <c r="A158" s="1"/>
      <c r="B158" s="5"/>
      <c r="C158" s="34">
        <f>91345*0+2/2*(4200+55.8+398.5)+4/4*(120+2011/2011*6/6*2707.6)+5/5*(4/4*(4000+439.6+544.2)+5/5*50+9/9*(398.5))+7/7*(4/4*72.2+5/5*44.1+7/7*118+9/9*173.5)+9/9*(418.7+7.8+970)+10/10*256+11/11*(418.7+166.3)+12/12*((140.6+60)+42+81.7+119.8+127.7+83+86)-C157</f>
        <v>0</v>
      </c>
      <c r="D158" s="5"/>
      <c r="E158" s="6"/>
      <c r="F158" s="6"/>
      <c r="G158" s="6"/>
      <c r="H158" s="34">
        <f>91345*0+(4200+55.8+398.5+4/4*(120+2011/2011*2707.6)+5/5*(4000+439.6+544.2+50+398.5)+7/7*(4/4*72.2+5/5*44.1+7/7*118+9/9*173.5)+9/9*(418.7+970+7.8)+10/10*256+11/11*(166.3+418.7)+12/12*(93/93*42+98/98*498.2))-H157</f>
        <v>-200.60000000000218</v>
      </c>
      <c r="I158" s="3"/>
      <c r="J158" s="34">
        <f>(2/2*700000+3/3*398494+4/4*(701672+55800+2707570.8)+5/5*(44050+(566704-398494))*0)*0+5/5*5153734.8*0+6/6*5747418.84*0+7/7*(8367430.84-(1101252+384000))*0+8/8*(8057410.74*0+9/9*8195242.02*0+10/10*(74339799.71+143326117.07*0)*0+12/12*16394330.27-99/99*384000)-J157</f>
        <v>-200600</v>
      </c>
      <c r="K158" s="34" t="s">
        <v>1280</v>
      </c>
      <c r="L158" s="34"/>
      <c r="M158" s="5"/>
      <c r="N158" s="38">
        <f>16829.1-3507.1-N157+1396.5+10/10*256+11/11*(418.7+166.3)+12/12*((140.6+60)+42+81.7+119.8+127.7+83+86)</f>
        <v>2707.599999999996</v>
      </c>
      <c r="O158" s="5"/>
      <c r="P158" s="5"/>
      <c r="Q158" s="5"/>
      <c r="R158" s="5"/>
      <c r="S158" s="34">
        <f>(2/2*(4200+55.8+398.5+4/4*(120+2011/2011*2707.6)+5/5*(4/4*(4000+439.6+544.2)+5/5*50+9/9*398.5)+7/7*(4/4*72.2+5/5*44.1+7/7*118+9/9*(173.5+970))))*0+12/12*(19807.4-2707.6*0-3507.1)-S157</f>
        <v>2707.5999999999985</v>
      </c>
      <c r="T158" s="2"/>
      <c r="U158" s="34">
        <f>(2/2*(4200000+3/3*(55800+398476)+4/4*(120000+388000)+5/5*(4/4*(4000000*0+439600+544200*0)+5/5*50000+9/9*398476)+6/6*291000+7/7*(4/4*(4000000+72200+(106100+141100+25100))+5/5*44050+7/7*118000+9/9*(173500+7840))+8/8*9/9*418700))*0+12/12*(17099761.55-3507120.55)-U157</f>
        <v>0</v>
      </c>
      <c r="V158" s="26"/>
      <c r="Y158" s="126"/>
      <c r="Z158" s="126"/>
      <c r="AA158" s="126"/>
      <c r="AB158" s="131"/>
      <c r="AC158" s="126"/>
      <c r="AD158" s="126"/>
      <c r="AE158" s="126"/>
      <c r="AF158" s="152">
        <f>SUM(AF115:AF155)</f>
        <v>-2618289.27</v>
      </c>
    </row>
    <row r="159" spans="1:32" s="120" customFormat="1" ht="12.75">
      <c r="A159" s="20" t="s">
        <v>1176</v>
      </c>
      <c r="B159" s="121">
        <f aca="true" t="shared" si="88" ref="B159:H159">B112+B157</f>
        <v>91345</v>
      </c>
      <c r="C159" s="121">
        <f t="shared" si="88"/>
        <v>20914.4</v>
      </c>
      <c r="D159" s="121">
        <f t="shared" si="88"/>
        <v>543</v>
      </c>
      <c r="E159" s="122">
        <f t="shared" si="88"/>
        <v>-970</v>
      </c>
      <c r="F159" s="122">
        <f t="shared" si="88"/>
        <v>570</v>
      </c>
      <c r="G159" s="122">
        <f t="shared" si="88"/>
        <v>-1548.5</v>
      </c>
      <c r="H159" s="122">
        <f t="shared" si="88"/>
        <v>110853.90000000001</v>
      </c>
      <c r="I159" s="123"/>
      <c r="J159" s="73">
        <f>J112+J157</f>
        <v>101905301.27</v>
      </c>
      <c r="K159" s="43">
        <f>J159/(H159*1000)</f>
        <v>0.9192757428471167</v>
      </c>
      <c r="L159" s="7"/>
      <c r="M159" s="121">
        <f aca="true" t="shared" si="89" ref="M159:S159">M112+M157</f>
        <v>91345</v>
      </c>
      <c r="N159" s="121">
        <f>N112+N157</f>
        <v>16447.800000000003</v>
      </c>
      <c r="O159" s="121">
        <f t="shared" si="89"/>
        <v>543</v>
      </c>
      <c r="P159" s="121">
        <f t="shared" si="89"/>
        <v>-970</v>
      </c>
      <c r="Q159" s="121">
        <f t="shared" si="89"/>
        <v>0</v>
      </c>
      <c r="R159" s="121">
        <f t="shared" si="89"/>
        <v>128.5</v>
      </c>
      <c r="S159" s="121">
        <f t="shared" si="89"/>
        <v>107494.3</v>
      </c>
      <c r="T159" s="2"/>
      <c r="U159" s="74">
        <f>U112+U157</f>
        <v>107398880</v>
      </c>
      <c r="V159" s="43">
        <f>U159/(S159*1000)</f>
        <v>0.999112325025606</v>
      </c>
      <c r="Y159" s="159">
        <f>Y112+Y157</f>
        <v>101905301.26999997</v>
      </c>
      <c r="Z159" s="159">
        <f>Z112+Z157</f>
        <v>11449341.05</v>
      </c>
      <c r="AA159" s="159">
        <f>AA112+AA157</f>
        <v>113354642.31999996</v>
      </c>
      <c r="AB159" s="131"/>
      <c r="AC159" s="159">
        <f>AC112+AC157</f>
        <v>107398880</v>
      </c>
      <c r="AD159" s="159">
        <f>AD112+AD157</f>
        <v>23222635.07</v>
      </c>
      <c r="AE159" s="159">
        <f>AE112+AE157</f>
        <v>130621515.07000001</v>
      </c>
      <c r="AF159" s="129">
        <f>AE159-AA159</f>
        <v>17266872.750000045</v>
      </c>
    </row>
    <row r="160" spans="10:32" s="120" customFormat="1" ht="12.75">
      <c r="J160" s="166">
        <f>J159-101905301.27</f>
        <v>0</v>
      </c>
      <c r="O160" s="29"/>
      <c r="P160" s="29"/>
      <c r="Q160" s="29"/>
      <c r="R160" s="6"/>
      <c r="S160" s="38">
        <f>S159-H159</f>
        <v>-3359.600000000006</v>
      </c>
      <c r="T160" s="3"/>
      <c r="U160" s="7">
        <f>(U113+U115+U131)*0+U159-J159</f>
        <v>5493578.730000004</v>
      </c>
      <c r="V160" s="43">
        <f>U159/(M159*1000)</f>
        <v>1.1757499589468499</v>
      </c>
      <c r="Y160" s="126"/>
      <c r="Z160" s="126"/>
      <c r="AA160" s="160">
        <f>Y159+Z159-AA159</f>
        <v>0</v>
      </c>
      <c r="AB160" s="131"/>
      <c r="AC160" s="126"/>
      <c r="AD160" s="126"/>
      <c r="AE160" s="126"/>
      <c r="AF160" s="159">
        <f>AF113+AF157</f>
        <v>17266872.750000007</v>
      </c>
    </row>
    <row r="161" spans="1:31" ht="12.75">
      <c r="A161"/>
      <c r="B161"/>
      <c r="C161"/>
      <c r="D161"/>
      <c r="E161"/>
      <c r="F161"/>
      <c r="G161"/>
      <c r="H161"/>
      <c r="I161"/>
      <c r="J161"/>
      <c r="K161"/>
      <c r="S161" s="80" t="s">
        <v>1187</v>
      </c>
      <c r="U161" s="86">
        <f>(2/2*30234453.5-4134/4134*11240522.75)*0+3/3*(45381314.05-20449096)*0+4/4*(57027840.52-26820815.87)*0+5/5*(76657445.78-35332574.5)*0+6/6*(86968167.69-39926904.12)*0+7/7*(113207523.97-46491781.35)*0+10/10*(152443267.37-68986317.36)*0+12/12*(196234307.73-88835427.73)-U159</f>
        <v>0</v>
      </c>
      <c r="Y161" s="160">
        <f>74887103.61*0+74339799.71*0+J159-Y159</f>
        <v>0</v>
      </c>
      <c r="Z161" s="160">
        <f>8367038.98*0+12/12*11449341.05-Z159</f>
        <v>0</v>
      </c>
      <c r="AA161" s="160">
        <f>(8367038.98+74339799.71)*0+12/12*(101905301.27+11449341.05)-AA159</f>
        <v>0</v>
      </c>
      <c r="AC161" s="160">
        <f>83456950.01*0+U159-AC159</f>
        <v>0</v>
      </c>
      <c r="AD161" s="160">
        <f>22016059.51*0+12/12*23222635.07-AD159</f>
        <v>0</v>
      </c>
      <c r="AE161" s="160">
        <f>(22016059.51+83456950.01)*0+12/12*(107398880+23222635.07)-AE159</f>
        <v>0</v>
      </c>
    </row>
    <row r="162" spans="1:32" ht="12.75">
      <c r="A162"/>
      <c r="B162"/>
      <c r="C162"/>
      <c r="D162"/>
      <c r="E162"/>
      <c r="F162"/>
      <c r="G162"/>
      <c r="H162"/>
      <c r="I162"/>
      <c r="J162"/>
      <c r="K162"/>
      <c r="S162" s="81">
        <f>S159-H159</f>
        <v>-3359.600000000006</v>
      </c>
      <c r="T162" s="39"/>
      <c r="U162" s="34">
        <f>U159-J159</f>
        <v>5493578.730000004</v>
      </c>
      <c r="Y162"/>
      <c r="Z162"/>
      <c r="AA162"/>
      <c r="AB162" s="161" t="s">
        <v>1347</v>
      </c>
      <c r="AC162" s="160">
        <f>AC159-Y159</f>
        <v>5493578.730000034</v>
      </c>
      <c r="AD162" s="160">
        <f>AD159-Z159</f>
        <v>11773294.02</v>
      </c>
      <c r="AE162" s="160">
        <f>AE159-AA159</f>
        <v>17266872.750000045</v>
      </c>
      <c r="AF162"/>
    </row>
    <row r="163" spans="1:32" ht="13.5">
      <c r="A163" s="90" t="s">
        <v>1151</v>
      </c>
      <c r="K163" s="91">
        <f>110853.9-H159</f>
        <v>0</v>
      </c>
      <c r="L163" s="91">
        <f>101905301.27-J159</f>
        <v>0</v>
      </c>
      <c r="S163" s="62" t="s">
        <v>1226</v>
      </c>
      <c r="T163" s="61"/>
      <c r="U163" s="7">
        <f>U113</f>
        <v>8111868</v>
      </c>
      <c r="Y163"/>
      <c r="Z163"/>
      <c r="AA163"/>
      <c r="AB163"/>
      <c r="AC163"/>
      <c r="AD163"/>
      <c r="AE163"/>
      <c r="AF163"/>
    </row>
    <row r="164" spans="1:32" ht="13.5">
      <c r="A164" s="90" t="s">
        <v>1152</v>
      </c>
      <c r="K164" s="91">
        <f>107494.3-S159-H160*0</f>
        <v>0</v>
      </c>
      <c r="L164" s="91">
        <f>107398880-U159-J160*0</f>
        <v>0</v>
      </c>
      <c r="R164" s="63"/>
      <c r="S164" s="62" t="s">
        <v>1232</v>
      </c>
      <c r="T164" s="64"/>
      <c r="U164" s="7">
        <f>(U163-U113)*0+U157-J157</f>
        <v>-2618289.2699999996</v>
      </c>
      <c r="Y164"/>
      <c r="Z164"/>
      <c r="AA164"/>
      <c r="AB164"/>
      <c r="AC164"/>
      <c r="AD164"/>
      <c r="AE164"/>
      <c r="AF164"/>
    </row>
    <row r="165" spans="1:32" ht="12.75">
      <c r="A165"/>
      <c r="B165"/>
      <c r="C165"/>
      <c r="D165"/>
      <c r="E165"/>
      <c r="F165"/>
      <c r="G165"/>
      <c r="H165"/>
      <c r="I165"/>
      <c r="J165"/>
      <c r="K165"/>
      <c r="P165" s="63"/>
      <c r="Q165" s="63"/>
      <c r="S165" s="62" t="s">
        <v>1252</v>
      </c>
      <c r="T165" s="61"/>
      <c r="U165" s="7">
        <f>U163+U164</f>
        <v>5493578.73</v>
      </c>
      <c r="Y165"/>
      <c r="Z165"/>
      <c r="AA165"/>
      <c r="AB165"/>
      <c r="AC165"/>
      <c r="AD165"/>
      <c r="AE165"/>
      <c r="AF165"/>
    </row>
    <row r="166" spans="1:32" ht="12.75">
      <c r="A166"/>
      <c r="B166"/>
      <c r="C166"/>
      <c r="D166"/>
      <c r="E166"/>
      <c r="F166"/>
      <c r="G166"/>
      <c r="H166"/>
      <c r="I166"/>
      <c r="J166" s="125" t="s">
        <v>1327</v>
      </c>
      <c r="K166"/>
      <c r="U166" s="125" t="s">
        <v>1326</v>
      </c>
      <c r="V166" s="125" t="s">
        <v>1325</v>
      </c>
      <c r="Y166"/>
      <c r="Z166"/>
      <c r="AA166"/>
      <c r="AB166"/>
      <c r="AC166"/>
      <c r="AD166"/>
      <c r="AE166"/>
      <c r="AF166"/>
    </row>
    <row r="167" spans="1:32" ht="12.75">
      <c r="A167"/>
      <c r="B167"/>
      <c r="C167"/>
      <c r="D167"/>
      <c r="E167"/>
      <c r="F167"/>
      <c r="G167"/>
      <c r="H167" s="66" t="s">
        <v>1182</v>
      </c>
      <c r="J167" s="10">
        <f>SUM(J132:J155)-J145</f>
        <v>10369562</v>
      </c>
      <c r="K167"/>
      <c r="S167" s="66" t="s">
        <v>1182</v>
      </c>
      <c r="U167" s="10">
        <f>SUM(U132:U155)</f>
        <v>10680400</v>
      </c>
      <c r="V167" s="10">
        <f>U167-J167</f>
        <v>310838</v>
      </c>
      <c r="Y167"/>
      <c r="Z167"/>
      <c r="AA167"/>
      <c r="AB167"/>
      <c r="AC167"/>
      <c r="AD167"/>
      <c r="AE167"/>
      <c r="AF167"/>
    </row>
    <row r="168" spans="1:32" ht="12.75">
      <c r="A168"/>
      <c r="B168"/>
      <c r="H168" s="66" t="s">
        <v>1181</v>
      </c>
      <c r="J168" s="10">
        <f>SUM(J118:J130)</f>
        <v>3133797.47</v>
      </c>
      <c r="S168" s="66" t="s">
        <v>1181</v>
      </c>
      <c r="T168" s="3"/>
      <c r="U168" s="10">
        <f>SUM(U118:U130)</f>
        <v>2912241</v>
      </c>
      <c r="V168" s="10">
        <f>U168-J168</f>
        <v>-221556.4700000002</v>
      </c>
      <c r="Y168"/>
      <c r="Z168"/>
      <c r="AA168"/>
      <c r="AB168"/>
      <c r="AC168"/>
      <c r="AD168"/>
      <c r="AE168"/>
      <c r="AF168"/>
    </row>
    <row r="169" spans="8:32" ht="12.75">
      <c r="H169" s="66" t="s">
        <v>1287</v>
      </c>
      <c r="J169" s="10">
        <f>J112</f>
        <v>85694371</v>
      </c>
      <c r="S169" s="66" t="s">
        <v>1287</v>
      </c>
      <c r="T169" s="3"/>
      <c r="U169" s="10">
        <f>U112</f>
        <v>93806239</v>
      </c>
      <c r="V169" s="10">
        <f>U169-J169</f>
        <v>8111868</v>
      </c>
      <c r="Y169"/>
      <c r="Z169"/>
      <c r="AA169"/>
      <c r="AB169"/>
      <c r="AC169"/>
      <c r="AD169"/>
      <c r="AE169"/>
      <c r="AF169"/>
    </row>
    <row r="170" spans="8:32" ht="12.75">
      <c r="H170" s="66" t="s">
        <v>1322</v>
      </c>
      <c r="J170" s="10">
        <f>SUM(J167:J169)</f>
        <v>99197730.47</v>
      </c>
      <c r="U170" s="10">
        <f>SUM(U167:U169)</f>
        <v>107398880</v>
      </c>
      <c r="V170" s="10">
        <f>SUM(V167:V169)</f>
        <v>8201149.529999999</v>
      </c>
      <c r="Y170"/>
      <c r="Z170"/>
      <c r="AA170"/>
      <c r="AB170"/>
      <c r="AC170"/>
      <c r="AD170"/>
      <c r="AE170"/>
      <c r="AF170"/>
    </row>
    <row r="171" spans="8:32" ht="12.75">
      <c r="H171" s="66" t="s">
        <v>1323</v>
      </c>
      <c r="J171" s="10">
        <f>J145</f>
        <v>2707570.8</v>
      </c>
      <c r="S171" s="66" t="s">
        <v>1323</v>
      </c>
      <c r="T171" s="66" t="s">
        <v>1323</v>
      </c>
      <c r="U171" s="3"/>
      <c r="V171" s="10">
        <f>-J171</f>
        <v>-2707570.8</v>
      </c>
      <c r="Y171"/>
      <c r="Z171"/>
      <c r="AA171"/>
      <c r="AB171"/>
      <c r="AC171"/>
      <c r="AD171"/>
      <c r="AE171"/>
      <c r="AF171"/>
    </row>
    <row r="172" spans="8:32" ht="12.75">
      <c r="H172" s="66" t="s">
        <v>1324</v>
      </c>
      <c r="J172" s="10">
        <f>SUM(J170:J171)</f>
        <v>101905301.27</v>
      </c>
      <c r="S172" s="66" t="s">
        <v>1324</v>
      </c>
      <c r="T172" s="66" t="s">
        <v>1324</v>
      </c>
      <c r="U172" s="3"/>
      <c r="V172" s="10">
        <f>SUM(V170:V171)</f>
        <v>5493578.7299999995</v>
      </c>
      <c r="Y172"/>
      <c r="Z172"/>
      <c r="AA172"/>
      <c r="AB172"/>
      <c r="AC172"/>
      <c r="AD172"/>
      <c r="AE172"/>
      <c r="AF172"/>
    </row>
    <row r="173" spans="25:32" ht="12.75">
      <c r="Y173"/>
      <c r="Z173"/>
      <c r="AA173"/>
      <c r="AB173"/>
      <c r="AC173"/>
      <c r="AD173"/>
      <c r="AE173"/>
      <c r="AF173"/>
    </row>
    <row r="174" spans="25:32" ht="12.75">
      <c r="Y174"/>
      <c r="Z174"/>
      <c r="AA174"/>
      <c r="AB174"/>
      <c r="AC174"/>
      <c r="AD174"/>
      <c r="AE174"/>
      <c r="AF174"/>
    </row>
    <row r="175" spans="25:32" ht="12.75">
      <c r="Y175"/>
      <c r="Z175"/>
      <c r="AA175"/>
      <c r="AB175"/>
      <c r="AC175"/>
      <c r="AD175"/>
      <c r="AE175"/>
      <c r="AF175"/>
    </row>
    <row r="176" spans="25:32" ht="12.75">
      <c r="Y176"/>
      <c r="Z176"/>
      <c r="AA176"/>
      <c r="AB176"/>
      <c r="AC176"/>
      <c r="AD176"/>
      <c r="AE176"/>
      <c r="AF176"/>
    </row>
    <row r="177" spans="25:32" ht="12.75">
      <c r="Y177"/>
      <c r="Z177"/>
      <c r="AA177"/>
      <c r="AB177"/>
      <c r="AC177"/>
      <c r="AD177"/>
      <c r="AE177"/>
      <c r="AF177"/>
    </row>
    <row r="178" spans="25:32" ht="12.75">
      <c r="Y178"/>
      <c r="Z178"/>
      <c r="AA178"/>
      <c r="AB178"/>
      <c r="AC178"/>
      <c r="AD178"/>
      <c r="AE178"/>
      <c r="AF178"/>
    </row>
    <row r="179" spans="25:32" ht="12.75">
      <c r="Y179"/>
      <c r="Z179"/>
      <c r="AA179"/>
      <c r="AB179"/>
      <c r="AC179"/>
      <c r="AD179"/>
      <c r="AE179"/>
      <c r="AF179"/>
    </row>
    <row r="180" spans="25:32" ht="12.75">
      <c r="Y180"/>
      <c r="Z180"/>
      <c r="AA180"/>
      <c r="AB180"/>
      <c r="AC180"/>
      <c r="AD180"/>
      <c r="AE180"/>
      <c r="AF180"/>
    </row>
    <row r="181" spans="25:32" ht="12.75">
      <c r="Y181"/>
      <c r="Z181"/>
      <c r="AA181"/>
      <c r="AB181"/>
      <c r="AC181"/>
      <c r="AD181"/>
      <c r="AE181"/>
      <c r="AF181"/>
    </row>
    <row r="182" spans="25:32" ht="12.75">
      <c r="Y182"/>
      <c r="Z182"/>
      <c r="AA182"/>
      <c r="AB182"/>
      <c r="AC182"/>
      <c r="AD182"/>
      <c r="AE182"/>
      <c r="AF182"/>
    </row>
    <row r="183" spans="25:32" ht="12.75">
      <c r="Y183"/>
      <c r="Z183"/>
      <c r="AA183"/>
      <c r="AB183"/>
      <c r="AC183"/>
      <c r="AD183"/>
      <c r="AE183"/>
      <c r="AF183"/>
    </row>
    <row r="184" spans="25:32" ht="12.75">
      <c r="Y184"/>
      <c r="Z184"/>
      <c r="AA184"/>
      <c r="AB184"/>
      <c r="AC184"/>
      <c r="AD184"/>
      <c r="AE184"/>
      <c r="AF184"/>
    </row>
    <row r="185" spans="25:32" ht="12.75">
      <c r="Y185"/>
      <c r="Z185"/>
      <c r="AA185"/>
      <c r="AB185"/>
      <c r="AC185"/>
      <c r="AD185"/>
      <c r="AE185"/>
      <c r="AF185"/>
    </row>
    <row r="186" spans="25:32" ht="12.75">
      <c r="Y186"/>
      <c r="Z186"/>
      <c r="AA186"/>
      <c r="AB186"/>
      <c r="AC186"/>
      <c r="AD186"/>
      <c r="AE186"/>
      <c r="AF186"/>
    </row>
    <row r="187" spans="25:32" ht="12.75">
      <c r="Y187"/>
      <c r="Z187"/>
      <c r="AA187"/>
      <c r="AB187"/>
      <c r="AC187"/>
      <c r="AD187"/>
      <c r="AE187"/>
      <c r="AF187"/>
    </row>
    <row r="188" spans="25:32" ht="12.75">
      <c r="Y188"/>
      <c r="Z188"/>
      <c r="AA188"/>
      <c r="AB188"/>
      <c r="AC188"/>
      <c r="AD188"/>
      <c r="AE188"/>
      <c r="AF188"/>
    </row>
    <row r="189" spans="25:32" ht="12.75">
      <c r="Y189"/>
      <c r="Z189"/>
      <c r="AA189"/>
      <c r="AB189"/>
      <c r="AC189"/>
      <c r="AD189"/>
      <c r="AE189"/>
      <c r="AF189"/>
    </row>
    <row r="190" spans="25:32" ht="12.75">
      <c r="Y190"/>
      <c r="Z190"/>
      <c r="AA190"/>
      <c r="AB190"/>
      <c r="AC190"/>
      <c r="AD190"/>
      <c r="AE190"/>
      <c r="AF190"/>
    </row>
    <row r="191" spans="25:32" ht="12.75">
      <c r="Y191"/>
      <c r="Z191"/>
      <c r="AA191"/>
      <c r="AB191"/>
      <c r="AC191"/>
      <c r="AD191"/>
      <c r="AE191"/>
      <c r="AF191"/>
    </row>
    <row r="192" spans="25:32" ht="12.75">
      <c r="Y192"/>
      <c r="Z192"/>
      <c r="AA192"/>
      <c r="AB192"/>
      <c r="AC192"/>
      <c r="AD192"/>
      <c r="AE192"/>
      <c r="AF192"/>
    </row>
    <row r="193" spans="25:32" ht="12.75">
      <c r="Y193"/>
      <c r="Z193"/>
      <c r="AA193"/>
      <c r="AB193"/>
      <c r="AC193"/>
      <c r="AD193"/>
      <c r="AE193"/>
      <c r="AF193"/>
    </row>
    <row r="194" spans="25:32" ht="12.75">
      <c r="Y194"/>
      <c r="Z194"/>
      <c r="AA194"/>
      <c r="AB194"/>
      <c r="AC194"/>
      <c r="AD194"/>
      <c r="AE194"/>
      <c r="AF194"/>
    </row>
  </sheetData>
  <sheetProtection password="CC4F" sheet="1" objects="1" scenarios="1"/>
  <mergeCells count="10">
    <mergeCell ref="M1:V1"/>
    <mergeCell ref="B1:K1"/>
    <mergeCell ref="A71:L71"/>
    <mergeCell ref="B2:H2"/>
    <mergeCell ref="M2:S2"/>
    <mergeCell ref="J3:K3"/>
    <mergeCell ref="Y2:AA2"/>
    <mergeCell ref="AC2:AE2"/>
    <mergeCell ref="AF2:AF3"/>
    <mergeCell ref="U3:V3"/>
  </mergeCells>
  <printOptions gridLines="1"/>
  <pageMargins left="0.1968503937007874" right="0.07874015748031496" top="0.3937007874015748" bottom="0.31496062992125984" header="0.1968503937007874" footer="0.2362204724409449"/>
  <pageSetup horizontalDpi="600" verticalDpi="600" orientation="landscape" paperSize="9" scale="66" r:id="rId1"/>
  <headerFooter alignWithMargins="0">
    <oddHeader xml:space="preserve">&amp;L&amp;"Arial,tučné kurzíva"&amp;11Hospodaření MČ 1-12/2012&amp;R&amp;"Arial,tučné kurzíva"&amp;8ZMČ 19.6.2013 příl 2a  </oddHeader>
    <oddFooter>&amp;L&amp;8&amp;F&amp;R&amp;8&amp;P</oddFooter>
  </headerFooter>
  <rowBreaks count="2" manualBreakCount="2">
    <brk id="67" max="255" man="1"/>
    <brk id="11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02"/>
  <sheetViews>
    <sheetView tabSelected="1" workbookViewId="0" topLeftCell="A1">
      <selection activeCell="W19" sqref="W19:Z19"/>
    </sheetView>
  </sheetViews>
  <sheetFormatPr defaultColWidth="9.140625" defaultRowHeight="12.75"/>
  <cols>
    <col min="1" max="4" width="1.57421875" style="0" customWidth="1"/>
    <col min="5" max="5" width="4.57421875" style="0" customWidth="1"/>
    <col min="6" max="7" width="7.421875" style="0" customWidth="1"/>
    <col min="8" max="8" width="1.57421875" style="0" customWidth="1"/>
    <col min="9" max="9" width="5.8515625" style="0" customWidth="1"/>
    <col min="10" max="10" width="4.57421875" style="0" customWidth="1"/>
    <col min="11" max="11" width="1.57421875" style="0" customWidth="1"/>
    <col min="12" max="12" width="5.8515625" style="0" customWidth="1"/>
    <col min="13" max="14" width="1.57421875" style="0" customWidth="1"/>
    <col min="15" max="15" width="7.421875" style="0" customWidth="1"/>
    <col min="16" max="16" width="9.00390625" style="0" customWidth="1"/>
    <col min="17" max="17" width="3.00390625" style="0" customWidth="1"/>
    <col min="18" max="18" width="4.57421875" style="0" customWidth="1"/>
    <col min="19" max="19" width="7.421875" style="0" customWidth="1"/>
    <col min="20" max="20" width="1.57421875" style="0" customWidth="1"/>
    <col min="21" max="21" width="9.00390625" style="0" customWidth="1"/>
    <col min="22" max="22" width="1.57421875" style="0" customWidth="1"/>
    <col min="23" max="23" width="9.00390625" style="0" customWidth="1"/>
    <col min="24" max="24" width="4.57421875" style="0" customWidth="1"/>
    <col min="25" max="25" width="1.57421875" style="0" customWidth="1"/>
    <col min="26" max="26" width="4.57421875" style="0" customWidth="1"/>
    <col min="27" max="28" width="19.421875" style="0" customWidth="1"/>
  </cols>
  <sheetData>
    <row r="1" spans="1:28" ht="13.5" customHeight="1" thickBot="1">
      <c r="A1" s="389" t="s">
        <v>946</v>
      </c>
      <c r="B1" s="389"/>
      <c r="C1" s="389"/>
      <c r="D1" s="389"/>
      <c r="E1" s="389"/>
      <c r="F1" s="389"/>
      <c r="G1" s="389"/>
      <c r="H1" s="389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3" t="s">
        <v>1137</v>
      </c>
    </row>
    <row r="2" spans="1:28" ht="20.25" customHeight="1">
      <c r="A2" s="343"/>
      <c r="B2" s="343"/>
      <c r="C2" s="343"/>
      <c r="D2" s="343"/>
      <c r="E2" s="343"/>
      <c r="F2" s="343"/>
      <c r="G2" s="343"/>
      <c r="H2" s="343"/>
      <c r="I2" s="341" t="s">
        <v>948</v>
      </c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</row>
    <row r="3" spans="1:28" ht="12.75">
      <c r="A3" s="343"/>
      <c r="B3" s="343"/>
      <c r="C3" s="392"/>
      <c r="D3" s="392"/>
      <c r="E3" s="392"/>
      <c r="F3" s="392"/>
      <c r="G3" s="392"/>
      <c r="H3" s="392"/>
      <c r="I3" s="348" t="s">
        <v>949</v>
      </c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</row>
    <row r="4" spans="1:28" ht="12.75">
      <c r="A4" s="343"/>
      <c r="B4" s="343"/>
      <c r="C4" s="343"/>
      <c r="D4" s="343"/>
      <c r="E4" s="343"/>
      <c r="F4" s="343"/>
      <c r="G4" s="343"/>
      <c r="H4" s="343"/>
      <c r="I4" s="343" t="s">
        <v>950</v>
      </c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</row>
    <row r="5" spans="1:28" ht="12.75" customHeight="1">
      <c r="A5" s="343"/>
      <c r="B5" s="343"/>
      <c r="C5" s="343"/>
      <c r="D5" s="343"/>
      <c r="E5" s="343"/>
      <c r="F5" s="343"/>
      <c r="G5" s="343"/>
      <c r="H5" s="343"/>
      <c r="I5" s="484" t="s">
        <v>951</v>
      </c>
      <c r="J5" s="484"/>
      <c r="K5" s="485" t="s">
        <v>952</v>
      </c>
      <c r="L5" s="485"/>
      <c r="M5" s="485"/>
      <c r="N5" s="485"/>
      <c r="O5" s="485"/>
      <c r="P5" s="485"/>
      <c r="Q5" s="485"/>
      <c r="R5" s="485"/>
      <c r="S5" s="486" t="s">
        <v>1543</v>
      </c>
      <c r="T5" s="485"/>
      <c r="U5" s="485" t="s">
        <v>1138</v>
      </c>
      <c r="V5" s="485"/>
      <c r="W5" s="485"/>
      <c r="X5" s="485"/>
      <c r="Y5" s="485"/>
      <c r="Z5" s="485"/>
      <c r="AA5" s="485"/>
      <c r="AB5" s="485"/>
    </row>
    <row r="6" spans="1:28" s="488" customFormat="1" ht="12.75" customHeight="1">
      <c r="A6" s="487"/>
      <c r="B6" s="487"/>
      <c r="C6" s="487"/>
      <c r="D6" s="487"/>
      <c r="E6" s="487"/>
      <c r="F6" s="487"/>
      <c r="G6" s="487"/>
      <c r="H6" s="487"/>
      <c r="J6" s="489"/>
      <c r="L6" s="490"/>
      <c r="M6" s="490"/>
      <c r="N6" s="490"/>
      <c r="O6" s="490"/>
      <c r="P6" s="490"/>
      <c r="Q6" s="490"/>
      <c r="R6" s="490"/>
      <c r="S6" s="489" t="s">
        <v>954</v>
      </c>
      <c r="T6" s="490"/>
      <c r="U6" s="490" t="s">
        <v>1139</v>
      </c>
      <c r="V6" s="490"/>
      <c r="W6" s="490"/>
      <c r="X6" s="490"/>
      <c r="Y6" s="490"/>
      <c r="Z6" s="490"/>
      <c r="AA6" s="490"/>
      <c r="AB6" s="490"/>
    </row>
    <row r="7" spans="1:28" ht="4.5" customHeight="1" thickBot="1">
      <c r="A7" s="492"/>
      <c r="B7" s="492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</row>
    <row r="8" spans="1:28" ht="9.75" customHeight="1" thickBot="1">
      <c r="A8" s="350" t="s">
        <v>956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1" t="s">
        <v>957</v>
      </c>
      <c r="R8" s="451"/>
      <c r="S8" s="452" t="s">
        <v>958</v>
      </c>
      <c r="T8" s="453"/>
      <c r="U8" s="453"/>
      <c r="V8" s="453"/>
      <c r="W8" s="453"/>
      <c r="X8" s="453"/>
      <c r="Y8" s="453"/>
      <c r="Z8" s="454"/>
      <c r="AA8" s="452" t="s">
        <v>959</v>
      </c>
      <c r="AB8" s="453"/>
    </row>
    <row r="9" spans="1:28" ht="9.75" customHeight="1">
      <c r="A9" s="455" t="s">
        <v>960</v>
      </c>
      <c r="B9" s="455"/>
      <c r="C9" s="455"/>
      <c r="D9" s="455"/>
      <c r="E9" s="455" t="s">
        <v>2124</v>
      </c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6" t="s">
        <v>961</v>
      </c>
      <c r="R9" s="457"/>
      <c r="S9" s="458" t="s">
        <v>1339</v>
      </c>
      <c r="T9" s="351"/>
      <c r="U9" s="351"/>
      <c r="V9" s="351"/>
      <c r="W9" s="351" t="s">
        <v>962</v>
      </c>
      <c r="X9" s="351"/>
      <c r="Y9" s="351"/>
      <c r="Z9" s="451"/>
      <c r="AA9" s="459" t="s">
        <v>1339</v>
      </c>
      <c r="AB9" s="459" t="s">
        <v>962</v>
      </c>
    </row>
    <row r="10" spans="1:28" ht="9.75" customHeight="1">
      <c r="A10" s="460"/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1"/>
      <c r="R10" s="462"/>
      <c r="S10" s="463" t="s">
        <v>1659</v>
      </c>
      <c r="T10" s="464"/>
      <c r="U10" s="464"/>
      <c r="V10" s="464"/>
      <c r="W10" s="461" t="s">
        <v>1729</v>
      </c>
      <c r="X10" s="461"/>
      <c r="Y10" s="461"/>
      <c r="Z10" s="462"/>
      <c r="AA10" s="465" t="s">
        <v>2336</v>
      </c>
      <c r="AB10" s="466" t="s">
        <v>1785</v>
      </c>
    </row>
    <row r="11" spans="1:28" ht="4.5" customHeight="1" thickBot="1">
      <c r="A11" s="492"/>
      <c r="B11" s="492"/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</row>
    <row r="12" spans="1:28" ht="13.5" customHeight="1" thickBot="1">
      <c r="A12" s="363" t="s">
        <v>963</v>
      </c>
      <c r="B12" s="363"/>
      <c r="C12" s="363"/>
      <c r="D12" s="363"/>
      <c r="E12" s="363" t="s">
        <v>964</v>
      </c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467"/>
      <c r="S12" s="468">
        <v>12016928.93</v>
      </c>
      <c r="T12" s="468"/>
      <c r="U12" s="468"/>
      <c r="V12" s="468"/>
      <c r="W12" s="468">
        <v>209561.92</v>
      </c>
      <c r="X12" s="468"/>
      <c r="Y12" s="468"/>
      <c r="Z12" s="468"/>
      <c r="AA12" s="469">
        <v>14384945.89</v>
      </c>
      <c r="AB12" s="469"/>
    </row>
    <row r="13" spans="1:28" ht="4.5" customHeight="1" thickBot="1">
      <c r="A13" s="492"/>
      <c r="B13" s="492"/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</row>
    <row r="14" spans="1:28" ht="13.5" thickBot="1">
      <c r="A14" s="470"/>
      <c r="B14" s="369" t="s">
        <v>965</v>
      </c>
      <c r="C14" s="369"/>
      <c r="D14" s="470"/>
      <c r="E14" s="356" t="s">
        <v>966</v>
      </c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471"/>
      <c r="S14" s="472">
        <v>12016928.93</v>
      </c>
      <c r="T14" s="472"/>
      <c r="U14" s="472"/>
      <c r="V14" s="472"/>
      <c r="W14" s="472">
        <v>209561.92</v>
      </c>
      <c r="X14" s="472"/>
      <c r="Y14" s="472"/>
      <c r="Z14" s="472"/>
      <c r="AA14" s="473">
        <v>14178731.89</v>
      </c>
      <c r="AB14" s="473"/>
    </row>
    <row r="15" spans="1:28" ht="9.75" customHeight="1">
      <c r="A15" s="474"/>
      <c r="B15" s="355" t="s">
        <v>1492</v>
      </c>
      <c r="C15" s="355"/>
      <c r="D15" s="355"/>
      <c r="E15" s="354" t="s">
        <v>967</v>
      </c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474" t="s">
        <v>1809</v>
      </c>
      <c r="S15" s="475">
        <v>1164149.23</v>
      </c>
      <c r="T15" s="475"/>
      <c r="U15" s="475"/>
      <c r="V15" s="475"/>
      <c r="W15" s="475">
        <v>46851.43</v>
      </c>
      <c r="X15" s="475"/>
      <c r="Y15" s="475"/>
      <c r="Z15" s="475"/>
      <c r="AA15" s="476">
        <v>383241.33</v>
      </c>
      <c r="AB15" s="476"/>
    </row>
    <row r="16" spans="1:28" ht="9.75" customHeight="1">
      <c r="A16" s="474"/>
      <c r="B16" s="352" t="s">
        <v>1496</v>
      </c>
      <c r="C16" s="352"/>
      <c r="D16" s="352"/>
      <c r="E16" s="343" t="s">
        <v>968</v>
      </c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474" t="s">
        <v>1820</v>
      </c>
      <c r="S16" s="477">
        <v>286407</v>
      </c>
      <c r="T16" s="477"/>
      <c r="U16" s="477"/>
      <c r="V16" s="477"/>
      <c r="W16" s="477"/>
      <c r="X16" s="477"/>
      <c r="Y16" s="477"/>
      <c r="Z16" s="477"/>
      <c r="AA16" s="476">
        <v>655747.99</v>
      </c>
      <c r="AB16" s="476"/>
    </row>
    <row r="17" spans="1:28" ht="9.75" customHeight="1">
      <c r="A17" s="474"/>
      <c r="B17" s="352" t="s">
        <v>1500</v>
      </c>
      <c r="C17" s="352"/>
      <c r="D17" s="352"/>
      <c r="E17" s="343" t="s">
        <v>969</v>
      </c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474" t="s">
        <v>1840</v>
      </c>
      <c r="S17" s="477"/>
      <c r="T17" s="477"/>
      <c r="U17" s="477"/>
      <c r="V17" s="477"/>
      <c r="W17" s="477"/>
      <c r="X17" s="477"/>
      <c r="Y17" s="477"/>
      <c r="Z17" s="477"/>
      <c r="AA17" s="476"/>
      <c r="AB17" s="476"/>
    </row>
    <row r="18" spans="1:28" ht="9.75" customHeight="1">
      <c r="A18" s="474"/>
      <c r="B18" s="352" t="s">
        <v>1506</v>
      </c>
      <c r="C18" s="352"/>
      <c r="D18" s="352"/>
      <c r="E18" s="343" t="s">
        <v>970</v>
      </c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474" t="s">
        <v>971</v>
      </c>
      <c r="S18" s="477"/>
      <c r="T18" s="477"/>
      <c r="U18" s="477"/>
      <c r="V18" s="477"/>
      <c r="W18" s="477"/>
      <c r="X18" s="477"/>
      <c r="Y18" s="477"/>
      <c r="Z18" s="477"/>
      <c r="AA18" s="476"/>
      <c r="AB18" s="476"/>
    </row>
    <row r="19" spans="1:28" ht="9.75" customHeight="1">
      <c r="A19" s="474"/>
      <c r="B19" s="352" t="s">
        <v>1512</v>
      </c>
      <c r="C19" s="352"/>
      <c r="D19" s="352"/>
      <c r="E19" s="343" t="s">
        <v>972</v>
      </c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474" t="s">
        <v>973</v>
      </c>
      <c r="S19" s="477"/>
      <c r="T19" s="477"/>
      <c r="U19" s="477"/>
      <c r="V19" s="477"/>
      <c r="W19" s="477"/>
      <c r="X19" s="477"/>
      <c r="Y19" s="477"/>
      <c r="Z19" s="477"/>
      <c r="AA19" s="476"/>
      <c r="AB19" s="476"/>
    </row>
    <row r="20" spans="1:28" ht="9.75" customHeight="1">
      <c r="A20" s="474"/>
      <c r="B20" s="352" t="s">
        <v>1515</v>
      </c>
      <c r="C20" s="352"/>
      <c r="D20" s="352"/>
      <c r="E20" s="343" t="s">
        <v>974</v>
      </c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474" t="s">
        <v>975</v>
      </c>
      <c r="S20" s="477"/>
      <c r="T20" s="477"/>
      <c r="U20" s="477"/>
      <c r="V20" s="477"/>
      <c r="W20" s="477"/>
      <c r="X20" s="477"/>
      <c r="Y20" s="477"/>
      <c r="Z20" s="477"/>
      <c r="AA20" s="476"/>
      <c r="AB20" s="476"/>
    </row>
    <row r="21" spans="1:28" ht="9.75" customHeight="1">
      <c r="A21" s="474"/>
      <c r="B21" s="352" t="s">
        <v>1521</v>
      </c>
      <c r="C21" s="352"/>
      <c r="D21" s="352"/>
      <c r="E21" s="343" t="s">
        <v>976</v>
      </c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474" t="s">
        <v>977</v>
      </c>
      <c r="S21" s="477"/>
      <c r="T21" s="477"/>
      <c r="U21" s="477"/>
      <c r="V21" s="477"/>
      <c r="W21" s="477"/>
      <c r="X21" s="477"/>
      <c r="Y21" s="477"/>
      <c r="Z21" s="477"/>
      <c r="AA21" s="476"/>
      <c r="AB21" s="476"/>
    </row>
    <row r="22" spans="1:28" ht="9.75" customHeight="1">
      <c r="A22" s="474"/>
      <c r="B22" s="352" t="s">
        <v>1527</v>
      </c>
      <c r="C22" s="352"/>
      <c r="D22" s="352"/>
      <c r="E22" s="343" t="s">
        <v>1941</v>
      </c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474" t="s">
        <v>978</v>
      </c>
      <c r="S22" s="477">
        <v>184639.2</v>
      </c>
      <c r="T22" s="477"/>
      <c r="U22" s="477"/>
      <c r="V22" s="477"/>
      <c r="W22" s="477">
        <v>334.8</v>
      </c>
      <c r="X22" s="477"/>
      <c r="Y22" s="477"/>
      <c r="Z22" s="477"/>
      <c r="AA22" s="476">
        <v>528409.5</v>
      </c>
      <c r="AB22" s="476"/>
    </row>
    <row r="23" spans="1:28" ht="9.75" customHeight="1">
      <c r="A23" s="474"/>
      <c r="B23" s="352" t="s">
        <v>1529</v>
      </c>
      <c r="C23" s="352"/>
      <c r="D23" s="352"/>
      <c r="E23" s="343" t="s">
        <v>979</v>
      </c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474" t="s">
        <v>980</v>
      </c>
      <c r="S23" s="477">
        <v>4249</v>
      </c>
      <c r="T23" s="477"/>
      <c r="U23" s="477"/>
      <c r="V23" s="477"/>
      <c r="W23" s="477"/>
      <c r="X23" s="477"/>
      <c r="Y23" s="477"/>
      <c r="Z23" s="477"/>
      <c r="AA23" s="476">
        <v>800</v>
      </c>
      <c r="AB23" s="476"/>
    </row>
    <row r="24" spans="1:28" ht="9.75" customHeight="1">
      <c r="A24" s="474"/>
      <c r="B24" s="352" t="s">
        <v>1531</v>
      </c>
      <c r="C24" s="352"/>
      <c r="D24" s="352"/>
      <c r="E24" s="343" t="s">
        <v>981</v>
      </c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474" t="s">
        <v>1870</v>
      </c>
      <c r="S24" s="477"/>
      <c r="T24" s="477"/>
      <c r="U24" s="477"/>
      <c r="V24" s="477"/>
      <c r="W24" s="477"/>
      <c r="X24" s="477"/>
      <c r="Y24" s="477"/>
      <c r="Z24" s="477"/>
      <c r="AA24" s="476"/>
      <c r="AB24" s="476"/>
    </row>
    <row r="25" spans="1:28" ht="9.75" customHeight="1">
      <c r="A25" s="474"/>
      <c r="B25" s="352" t="s">
        <v>982</v>
      </c>
      <c r="C25" s="352"/>
      <c r="D25" s="352"/>
      <c r="E25" s="343" t="s">
        <v>983</v>
      </c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474" t="s">
        <v>1935</v>
      </c>
      <c r="S25" s="477"/>
      <c r="T25" s="477"/>
      <c r="U25" s="477"/>
      <c r="V25" s="477"/>
      <c r="W25" s="477"/>
      <c r="X25" s="477"/>
      <c r="Y25" s="477"/>
      <c r="Z25" s="477"/>
      <c r="AA25" s="476"/>
      <c r="AB25" s="476"/>
    </row>
    <row r="26" spans="1:28" ht="9.75" customHeight="1">
      <c r="A26" s="474"/>
      <c r="B26" s="352" t="s">
        <v>984</v>
      </c>
      <c r="C26" s="352"/>
      <c r="D26" s="352"/>
      <c r="E26" s="343" t="s">
        <v>985</v>
      </c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474" t="s">
        <v>986</v>
      </c>
      <c r="S26" s="477">
        <v>3381725.33</v>
      </c>
      <c r="T26" s="477"/>
      <c r="U26" s="477"/>
      <c r="V26" s="477"/>
      <c r="W26" s="477"/>
      <c r="X26" s="477"/>
      <c r="Y26" s="477"/>
      <c r="Z26" s="477"/>
      <c r="AA26" s="476">
        <v>5643686.31</v>
      </c>
      <c r="AB26" s="476"/>
    </row>
    <row r="27" spans="1:28" ht="9.75" customHeight="1">
      <c r="A27" s="474"/>
      <c r="B27" s="352" t="s">
        <v>987</v>
      </c>
      <c r="C27" s="352"/>
      <c r="D27" s="352"/>
      <c r="E27" s="343" t="s">
        <v>988</v>
      </c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474" t="s">
        <v>989</v>
      </c>
      <c r="S27" s="477">
        <v>4822743.95</v>
      </c>
      <c r="T27" s="477"/>
      <c r="U27" s="477"/>
      <c r="V27" s="477"/>
      <c r="W27" s="477">
        <v>100066.05</v>
      </c>
      <c r="X27" s="477"/>
      <c r="Y27" s="477"/>
      <c r="Z27" s="477"/>
      <c r="AA27" s="476">
        <v>4892517</v>
      </c>
      <c r="AB27" s="476"/>
    </row>
    <row r="28" spans="1:28" ht="9.75" customHeight="1">
      <c r="A28" s="474"/>
      <c r="B28" s="352" t="s">
        <v>990</v>
      </c>
      <c r="C28" s="352"/>
      <c r="D28" s="352"/>
      <c r="E28" s="343" t="s">
        <v>991</v>
      </c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474" t="s">
        <v>992</v>
      </c>
      <c r="S28" s="477">
        <v>1387821.45</v>
      </c>
      <c r="T28" s="477"/>
      <c r="U28" s="477"/>
      <c r="V28" s="477"/>
      <c r="W28" s="477">
        <v>61973.55</v>
      </c>
      <c r="X28" s="477"/>
      <c r="Y28" s="477"/>
      <c r="Z28" s="477"/>
      <c r="AA28" s="476">
        <v>1659308</v>
      </c>
      <c r="AB28" s="476"/>
    </row>
    <row r="29" spans="1:28" ht="9.75" customHeight="1">
      <c r="A29" s="474"/>
      <c r="B29" s="352" t="s">
        <v>993</v>
      </c>
      <c r="C29" s="352"/>
      <c r="D29" s="352"/>
      <c r="E29" s="343" t="s">
        <v>994</v>
      </c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474" t="s">
        <v>995</v>
      </c>
      <c r="S29" s="477">
        <v>19555</v>
      </c>
      <c r="T29" s="477"/>
      <c r="U29" s="477"/>
      <c r="V29" s="477"/>
      <c r="W29" s="477"/>
      <c r="X29" s="477"/>
      <c r="Y29" s="477"/>
      <c r="Z29" s="477"/>
      <c r="AA29" s="476"/>
      <c r="AB29" s="476"/>
    </row>
    <row r="30" spans="1:28" ht="9.75" customHeight="1">
      <c r="A30" s="474"/>
      <c r="B30" s="352" t="s">
        <v>996</v>
      </c>
      <c r="C30" s="352"/>
      <c r="D30" s="352"/>
      <c r="E30" s="343" t="s">
        <v>997</v>
      </c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474" t="s">
        <v>998</v>
      </c>
      <c r="S30" s="477">
        <v>159005.77</v>
      </c>
      <c r="T30" s="477"/>
      <c r="U30" s="477"/>
      <c r="V30" s="477"/>
      <c r="W30" s="477"/>
      <c r="X30" s="477"/>
      <c r="Y30" s="477"/>
      <c r="Z30" s="477"/>
      <c r="AA30" s="476">
        <v>177912.76</v>
      </c>
      <c r="AB30" s="476"/>
    </row>
    <row r="31" spans="1:28" ht="9.75" customHeight="1">
      <c r="A31" s="474"/>
      <c r="B31" s="352" t="s">
        <v>999</v>
      </c>
      <c r="C31" s="352"/>
      <c r="D31" s="352"/>
      <c r="E31" s="343" t="s">
        <v>1000</v>
      </c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474" t="s">
        <v>1001</v>
      </c>
      <c r="S31" s="477"/>
      <c r="T31" s="477"/>
      <c r="U31" s="477"/>
      <c r="V31" s="477"/>
      <c r="W31" s="477"/>
      <c r="X31" s="477"/>
      <c r="Y31" s="477"/>
      <c r="Z31" s="477"/>
      <c r="AA31" s="476">
        <v>24480</v>
      </c>
      <c r="AB31" s="476"/>
    </row>
    <row r="32" spans="1:28" ht="9.75" customHeight="1">
      <c r="A32" s="474"/>
      <c r="B32" s="352" t="s">
        <v>1002</v>
      </c>
      <c r="C32" s="352"/>
      <c r="D32" s="352"/>
      <c r="E32" s="343" t="s">
        <v>1003</v>
      </c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474" t="s">
        <v>1004</v>
      </c>
      <c r="S32" s="477"/>
      <c r="T32" s="477"/>
      <c r="U32" s="477"/>
      <c r="V32" s="477"/>
      <c r="W32" s="477"/>
      <c r="X32" s="477"/>
      <c r="Y32" s="477"/>
      <c r="Z32" s="477"/>
      <c r="AA32" s="476"/>
      <c r="AB32" s="476"/>
    </row>
    <row r="33" spans="1:28" ht="9.75" customHeight="1">
      <c r="A33" s="474"/>
      <c r="B33" s="352" t="s">
        <v>1005</v>
      </c>
      <c r="C33" s="352"/>
      <c r="D33" s="352"/>
      <c r="E33" s="343" t="s">
        <v>1652</v>
      </c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474" t="s">
        <v>1006</v>
      </c>
      <c r="S33" s="477"/>
      <c r="T33" s="477"/>
      <c r="U33" s="477"/>
      <c r="V33" s="477"/>
      <c r="W33" s="477"/>
      <c r="X33" s="477"/>
      <c r="Y33" s="477"/>
      <c r="Z33" s="477"/>
      <c r="AA33" s="476"/>
      <c r="AB33" s="476"/>
    </row>
    <row r="34" spans="1:28" ht="9.75" customHeight="1">
      <c r="A34" s="474"/>
      <c r="B34" s="352" t="s">
        <v>1007</v>
      </c>
      <c r="C34" s="352"/>
      <c r="D34" s="352"/>
      <c r="E34" s="343" t="s">
        <v>1008</v>
      </c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474" t="s">
        <v>1009</v>
      </c>
      <c r="S34" s="477"/>
      <c r="T34" s="477"/>
      <c r="U34" s="477"/>
      <c r="V34" s="477"/>
      <c r="W34" s="477"/>
      <c r="X34" s="477"/>
      <c r="Y34" s="477"/>
      <c r="Z34" s="477"/>
      <c r="AA34" s="476"/>
      <c r="AB34" s="476"/>
    </row>
    <row r="35" spans="1:28" ht="9.75" customHeight="1">
      <c r="A35" s="474"/>
      <c r="B35" s="352" t="s">
        <v>1010</v>
      </c>
      <c r="C35" s="352"/>
      <c r="D35" s="352"/>
      <c r="E35" s="343" t="s">
        <v>1011</v>
      </c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474" t="s">
        <v>2037</v>
      </c>
      <c r="S35" s="477"/>
      <c r="T35" s="477"/>
      <c r="U35" s="477"/>
      <c r="V35" s="477"/>
      <c r="W35" s="477"/>
      <c r="X35" s="477"/>
      <c r="Y35" s="477"/>
      <c r="Z35" s="477"/>
      <c r="AA35" s="476"/>
      <c r="AB35" s="476"/>
    </row>
    <row r="36" spans="1:28" ht="9.75" customHeight="1">
      <c r="A36" s="474"/>
      <c r="B36" s="352" t="s">
        <v>1012</v>
      </c>
      <c r="C36" s="352"/>
      <c r="D36" s="352"/>
      <c r="E36" s="343" t="s">
        <v>1013</v>
      </c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474" t="s">
        <v>2043</v>
      </c>
      <c r="S36" s="477"/>
      <c r="T36" s="477"/>
      <c r="U36" s="477"/>
      <c r="V36" s="477"/>
      <c r="W36" s="477"/>
      <c r="X36" s="477"/>
      <c r="Y36" s="477"/>
      <c r="Z36" s="477"/>
      <c r="AA36" s="476"/>
      <c r="AB36" s="476"/>
    </row>
    <row r="37" spans="1:28" ht="9.75" customHeight="1">
      <c r="A37" s="474"/>
      <c r="B37" s="352" t="s">
        <v>1014</v>
      </c>
      <c r="C37" s="352"/>
      <c r="D37" s="352"/>
      <c r="E37" s="343" t="s">
        <v>1015</v>
      </c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474" t="s">
        <v>1016</v>
      </c>
      <c r="S37" s="477"/>
      <c r="T37" s="477"/>
      <c r="U37" s="477"/>
      <c r="V37" s="477"/>
      <c r="W37" s="477"/>
      <c r="X37" s="477"/>
      <c r="Y37" s="477"/>
      <c r="Z37" s="477"/>
      <c r="AA37" s="476"/>
      <c r="AB37" s="476"/>
    </row>
    <row r="38" spans="1:28" ht="9.75" customHeight="1">
      <c r="A38" s="474"/>
      <c r="B38" s="352" t="s">
        <v>1017</v>
      </c>
      <c r="C38" s="352"/>
      <c r="D38" s="352"/>
      <c r="E38" s="343" t="s">
        <v>1018</v>
      </c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474" t="s">
        <v>1019</v>
      </c>
      <c r="S38" s="477"/>
      <c r="T38" s="477"/>
      <c r="U38" s="477"/>
      <c r="V38" s="477"/>
      <c r="W38" s="477"/>
      <c r="X38" s="477"/>
      <c r="Y38" s="477"/>
      <c r="Z38" s="477"/>
      <c r="AA38" s="476"/>
      <c r="AB38" s="476"/>
    </row>
    <row r="39" spans="1:28" ht="9.75" customHeight="1">
      <c r="A39" s="474"/>
      <c r="B39" s="352" t="s">
        <v>1020</v>
      </c>
      <c r="C39" s="352"/>
      <c r="D39" s="352"/>
      <c r="E39" s="343" t="s">
        <v>1021</v>
      </c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474" t="s">
        <v>1022</v>
      </c>
      <c r="S39" s="477"/>
      <c r="T39" s="477"/>
      <c r="U39" s="477"/>
      <c r="V39" s="477"/>
      <c r="W39" s="477"/>
      <c r="X39" s="477"/>
      <c r="Y39" s="477"/>
      <c r="Z39" s="477"/>
      <c r="AA39" s="476"/>
      <c r="AB39" s="476"/>
    </row>
    <row r="40" spans="1:28" ht="9.75" customHeight="1">
      <c r="A40" s="474"/>
      <c r="B40" s="352" t="s">
        <v>1023</v>
      </c>
      <c r="C40" s="352"/>
      <c r="D40" s="352"/>
      <c r="E40" s="343" t="s">
        <v>1024</v>
      </c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474" t="s">
        <v>1025</v>
      </c>
      <c r="S40" s="477"/>
      <c r="T40" s="477"/>
      <c r="U40" s="477"/>
      <c r="V40" s="477"/>
      <c r="W40" s="477"/>
      <c r="X40" s="477"/>
      <c r="Y40" s="477"/>
      <c r="Z40" s="477"/>
      <c r="AA40" s="476"/>
      <c r="AB40" s="476"/>
    </row>
    <row r="41" spans="1:28" ht="9.75" customHeight="1">
      <c r="A41" s="474"/>
      <c r="B41" s="352" t="s">
        <v>1026</v>
      </c>
      <c r="C41" s="352"/>
      <c r="D41" s="352"/>
      <c r="E41" s="343" t="s">
        <v>1027</v>
      </c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474" t="s">
        <v>1028</v>
      </c>
      <c r="S41" s="477">
        <v>175207</v>
      </c>
      <c r="T41" s="477"/>
      <c r="U41" s="477"/>
      <c r="V41" s="477"/>
      <c r="W41" s="477"/>
      <c r="X41" s="477"/>
      <c r="Y41" s="477"/>
      <c r="Z41" s="477"/>
      <c r="AA41" s="476">
        <v>191872</v>
      </c>
      <c r="AB41" s="476"/>
    </row>
    <row r="42" spans="1:28" ht="9.75" customHeight="1">
      <c r="A42" s="474"/>
      <c r="B42" s="352" t="s">
        <v>1029</v>
      </c>
      <c r="C42" s="352"/>
      <c r="D42" s="352"/>
      <c r="E42" s="343" t="s">
        <v>1030</v>
      </c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474" t="s">
        <v>1031</v>
      </c>
      <c r="S42" s="477"/>
      <c r="T42" s="477"/>
      <c r="U42" s="477"/>
      <c r="V42" s="477"/>
      <c r="W42" s="477"/>
      <c r="X42" s="477"/>
      <c r="Y42" s="477"/>
      <c r="Z42" s="477"/>
      <c r="AA42" s="476"/>
      <c r="AB42" s="476"/>
    </row>
    <row r="43" spans="1:28" ht="9.75" customHeight="1">
      <c r="A43" s="474"/>
      <c r="B43" s="352" t="s">
        <v>1032</v>
      </c>
      <c r="C43" s="352"/>
      <c r="D43" s="352"/>
      <c r="E43" s="343" t="s">
        <v>1033</v>
      </c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474" t="s">
        <v>1034</v>
      </c>
      <c r="S43" s="477"/>
      <c r="T43" s="477"/>
      <c r="U43" s="477"/>
      <c r="V43" s="477"/>
      <c r="W43" s="477"/>
      <c r="X43" s="477"/>
      <c r="Y43" s="477"/>
      <c r="Z43" s="477"/>
      <c r="AA43" s="476"/>
      <c r="AB43" s="476"/>
    </row>
    <row r="44" spans="1:28" ht="9.75" customHeight="1">
      <c r="A44" s="474"/>
      <c r="B44" s="352" t="s">
        <v>1035</v>
      </c>
      <c r="C44" s="352"/>
      <c r="D44" s="352"/>
      <c r="E44" s="343" t="s">
        <v>1036</v>
      </c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474" t="s">
        <v>1037</v>
      </c>
      <c r="S44" s="477"/>
      <c r="T44" s="477"/>
      <c r="U44" s="477"/>
      <c r="V44" s="477"/>
      <c r="W44" s="477"/>
      <c r="X44" s="477"/>
      <c r="Y44" s="477"/>
      <c r="Z44" s="477"/>
      <c r="AA44" s="476"/>
      <c r="AB44" s="476"/>
    </row>
    <row r="45" spans="1:28" ht="9.75" customHeight="1">
      <c r="A45" s="474"/>
      <c r="B45" s="352" t="s">
        <v>1038</v>
      </c>
      <c r="C45" s="352"/>
      <c r="D45" s="352"/>
      <c r="E45" s="343" t="s">
        <v>1039</v>
      </c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474" t="s">
        <v>1040</v>
      </c>
      <c r="S45" s="477"/>
      <c r="T45" s="477"/>
      <c r="U45" s="477"/>
      <c r="V45" s="477"/>
      <c r="W45" s="477"/>
      <c r="X45" s="477"/>
      <c r="Y45" s="477"/>
      <c r="Z45" s="477"/>
      <c r="AA45" s="476"/>
      <c r="AB45" s="476"/>
    </row>
    <row r="46" spans="1:28" ht="9.75" customHeight="1">
      <c r="A46" s="474"/>
      <c r="B46" s="352" t="s">
        <v>1041</v>
      </c>
      <c r="C46" s="352"/>
      <c r="D46" s="352"/>
      <c r="E46" s="343" t="s">
        <v>1042</v>
      </c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474" t="s">
        <v>1043</v>
      </c>
      <c r="S46" s="477"/>
      <c r="T46" s="477"/>
      <c r="U46" s="477"/>
      <c r="V46" s="477"/>
      <c r="W46" s="477"/>
      <c r="X46" s="477"/>
      <c r="Y46" s="477"/>
      <c r="Z46" s="477"/>
      <c r="AA46" s="476"/>
      <c r="AB46" s="476"/>
    </row>
    <row r="47" spans="1:28" ht="9.75" customHeight="1">
      <c r="A47" s="474"/>
      <c r="B47" s="352" t="s">
        <v>1044</v>
      </c>
      <c r="C47" s="352"/>
      <c r="D47" s="352"/>
      <c r="E47" s="343" t="s">
        <v>1045</v>
      </c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474" t="s">
        <v>1046</v>
      </c>
      <c r="S47" s="477"/>
      <c r="T47" s="477"/>
      <c r="U47" s="477"/>
      <c r="V47" s="477"/>
      <c r="W47" s="477"/>
      <c r="X47" s="477"/>
      <c r="Y47" s="477"/>
      <c r="Z47" s="477"/>
      <c r="AA47" s="476"/>
      <c r="AB47" s="476"/>
    </row>
    <row r="48" spans="1:28" ht="9.75" customHeight="1">
      <c r="A48" s="474"/>
      <c r="B48" s="352" t="s">
        <v>1047</v>
      </c>
      <c r="C48" s="352"/>
      <c r="D48" s="352"/>
      <c r="E48" s="343" t="s">
        <v>1048</v>
      </c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474" t="s">
        <v>1049</v>
      </c>
      <c r="S48" s="477">
        <v>277805.8</v>
      </c>
      <c r="T48" s="477"/>
      <c r="U48" s="477"/>
      <c r="V48" s="477"/>
      <c r="W48" s="477"/>
      <c r="X48" s="477"/>
      <c r="Y48" s="477"/>
      <c r="Z48" s="477"/>
      <c r="AA48" s="476"/>
      <c r="AB48" s="476"/>
    </row>
    <row r="49" spans="1:28" ht="9.75" customHeight="1">
      <c r="A49" s="474"/>
      <c r="B49" s="352" t="s">
        <v>1050</v>
      </c>
      <c r="C49" s="352"/>
      <c r="D49" s="352"/>
      <c r="E49" s="343" t="s">
        <v>1051</v>
      </c>
      <c r="F49" s="343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474" t="s">
        <v>1052</v>
      </c>
      <c r="S49" s="477">
        <v>153620.2</v>
      </c>
      <c r="T49" s="477"/>
      <c r="U49" s="477"/>
      <c r="V49" s="477"/>
      <c r="W49" s="477">
        <v>336.09</v>
      </c>
      <c r="X49" s="477"/>
      <c r="Y49" s="477"/>
      <c r="Z49" s="477"/>
      <c r="AA49" s="476">
        <v>20757</v>
      </c>
      <c r="AB49" s="476"/>
    </row>
    <row r="50" spans="1:28" ht="4.5" customHeight="1" thickBot="1">
      <c r="A50" s="492"/>
      <c r="B50" s="492"/>
      <c r="C50" s="492"/>
      <c r="D50" s="492"/>
      <c r="E50" s="492"/>
      <c r="F50" s="492"/>
      <c r="G50" s="492"/>
      <c r="H50" s="492"/>
      <c r="I50" s="492"/>
      <c r="J50" s="492"/>
      <c r="K50" s="492"/>
      <c r="L50" s="492"/>
      <c r="M50" s="492"/>
      <c r="N50" s="492"/>
      <c r="O50" s="492"/>
      <c r="P50" s="492"/>
      <c r="Q50" s="492"/>
      <c r="R50" s="492"/>
      <c r="S50" s="492"/>
      <c r="T50" s="492"/>
      <c r="U50" s="492"/>
      <c r="V50" s="492"/>
      <c r="W50" s="492"/>
      <c r="X50" s="492"/>
      <c r="Y50" s="492"/>
      <c r="Z50" s="492"/>
      <c r="AA50" s="492"/>
      <c r="AB50" s="492"/>
    </row>
    <row r="51" spans="1:28" ht="13.5" thickBot="1">
      <c r="A51" s="470"/>
      <c r="B51" s="369" t="s">
        <v>1053</v>
      </c>
      <c r="C51" s="369"/>
      <c r="D51" s="470"/>
      <c r="E51" s="356" t="s">
        <v>1054</v>
      </c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471"/>
      <c r="S51" s="472"/>
      <c r="T51" s="472"/>
      <c r="U51" s="472"/>
      <c r="V51" s="472"/>
      <c r="W51" s="472"/>
      <c r="X51" s="472"/>
      <c r="Y51" s="472"/>
      <c r="Z51" s="472"/>
      <c r="AA51" s="473">
        <v>206214</v>
      </c>
      <c r="AB51" s="473"/>
    </row>
    <row r="52" spans="1:28" ht="9.75" customHeight="1">
      <c r="A52" s="474"/>
      <c r="B52" s="355" t="s">
        <v>1492</v>
      </c>
      <c r="C52" s="355"/>
      <c r="D52" s="355"/>
      <c r="E52" s="354" t="s">
        <v>1055</v>
      </c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474" t="s">
        <v>1056</v>
      </c>
      <c r="S52" s="475"/>
      <c r="T52" s="475"/>
      <c r="U52" s="475"/>
      <c r="V52" s="475"/>
      <c r="W52" s="475"/>
      <c r="X52" s="475"/>
      <c r="Y52" s="475"/>
      <c r="Z52" s="475"/>
      <c r="AA52" s="476"/>
      <c r="AB52" s="476"/>
    </row>
    <row r="53" spans="1:28" ht="9.75" customHeight="1">
      <c r="A53" s="474"/>
      <c r="B53" s="352" t="s">
        <v>1496</v>
      </c>
      <c r="C53" s="352"/>
      <c r="D53" s="352"/>
      <c r="E53" s="343" t="s">
        <v>1057</v>
      </c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474" t="s">
        <v>1058</v>
      </c>
      <c r="S53" s="477"/>
      <c r="T53" s="477"/>
      <c r="U53" s="477"/>
      <c r="V53" s="477"/>
      <c r="W53" s="477"/>
      <c r="X53" s="477"/>
      <c r="Y53" s="477"/>
      <c r="Z53" s="477"/>
      <c r="AA53" s="476"/>
      <c r="AB53" s="476"/>
    </row>
    <row r="54" spans="1:28" ht="9.75" customHeight="1">
      <c r="A54" s="474"/>
      <c r="B54" s="352" t="s">
        <v>1500</v>
      </c>
      <c r="C54" s="352"/>
      <c r="D54" s="352"/>
      <c r="E54" s="343" t="s">
        <v>1059</v>
      </c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474" t="s">
        <v>1060</v>
      </c>
      <c r="S54" s="477"/>
      <c r="T54" s="477"/>
      <c r="U54" s="477"/>
      <c r="V54" s="477"/>
      <c r="W54" s="477"/>
      <c r="X54" s="477"/>
      <c r="Y54" s="477"/>
      <c r="Z54" s="477"/>
      <c r="AA54" s="476"/>
      <c r="AB54" s="476"/>
    </row>
    <row r="55" spans="1:28" ht="9.75" customHeight="1">
      <c r="A55" s="474"/>
      <c r="B55" s="352" t="s">
        <v>1506</v>
      </c>
      <c r="C55" s="352"/>
      <c r="D55" s="352"/>
      <c r="E55" s="343" t="s">
        <v>1061</v>
      </c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474" t="s">
        <v>1062</v>
      </c>
      <c r="S55" s="477"/>
      <c r="T55" s="477"/>
      <c r="U55" s="477"/>
      <c r="V55" s="477"/>
      <c r="W55" s="477"/>
      <c r="X55" s="477"/>
      <c r="Y55" s="477"/>
      <c r="Z55" s="477"/>
      <c r="AA55" s="476"/>
      <c r="AB55" s="476"/>
    </row>
    <row r="56" spans="1:28" ht="9.75" customHeight="1">
      <c r="A56" s="474"/>
      <c r="B56" s="352" t="s">
        <v>1512</v>
      </c>
      <c r="C56" s="352"/>
      <c r="D56" s="352"/>
      <c r="E56" s="343" t="s">
        <v>1063</v>
      </c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474" t="s">
        <v>1064</v>
      </c>
      <c r="S56" s="477"/>
      <c r="T56" s="477"/>
      <c r="U56" s="477"/>
      <c r="V56" s="477"/>
      <c r="W56" s="477"/>
      <c r="X56" s="477"/>
      <c r="Y56" s="477"/>
      <c r="Z56" s="477"/>
      <c r="AA56" s="476">
        <v>206214</v>
      </c>
      <c r="AB56" s="476"/>
    </row>
    <row r="57" spans="1:28" ht="4.5" customHeight="1" thickBot="1">
      <c r="A57" s="492"/>
      <c r="B57" s="492"/>
      <c r="C57" s="492"/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2"/>
      <c r="O57" s="492"/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</row>
    <row r="58" spans="1:28" ht="9.75" customHeight="1" thickBot="1">
      <c r="A58" s="350" t="s">
        <v>956</v>
      </c>
      <c r="B58" s="350"/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1" t="s">
        <v>957</v>
      </c>
      <c r="R58" s="451"/>
      <c r="S58" s="452" t="s">
        <v>958</v>
      </c>
      <c r="T58" s="453"/>
      <c r="U58" s="453"/>
      <c r="V58" s="453"/>
      <c r="W58" s="453"/>
      <c r="X58" s="453"/>
      <c r="Y58" s="453"/>
      <c r="Z58" s="454"/>
      <c r="AA58" s="452" t="s">
        <v>959</v>
      </c>
      <c r="AB58" s="453"/>
    </row>
    <row r="59" spans="1:28" ht="9.75" customHeight="1">
      <c r="A59" s="455" t="s">
        <v>960</v>
      </c>
      <c r="B59" s="455"/>
      <c r="C59" s="455"/>
      <c r="D59" s="455"/>
      <c r="E59" s="455" t="s">
        <v>2124</v>
      </c>
      <c r="F59" s="455"/>
      <c r="G59" s="455"/>
      <c r="H59" s="455"/>
      <c r="I59" s="455"/>
      <c r="J59" s="455"/>
      <c r="K59" s="455"/>
      <c r="L59" s="455"/>
      <c r="M59" s="455"/>
      <c r="N59" s="455"/>
      <c r="O59" s="455"/>
      <c r="P59" s="455"/>
      <c r="Q59" s="456" t="s">
        <v>961</v>
      </c>
      <c r="R59" s="457"/>
      <c r="S59" s="458" t="s">
        <v>1339</v>
      </c>
      <c r="T59" s="351"/>
      <c r="U59" s="351"/>
      <c r="V59" s="351"/>
      <c r="W59" s="351" t="s">
        <v>962</v>
      </c>
      <c r="X59" s="351"/>
      <c r="Y59" s="351"/>
      <c r="Z59" s="451"/>
      <c r="AA59" s="459" t="s">
        <v>1339</v>
      </c>
      <c r="AB59" s="459" t="s">
        <v>962</v>
      </c>
    </row>
    <row r="60" spans="1:28" ht="9.75" customHeight="1" thickBot="1">
      <c r="A60" s="460"/>
      <c r="B60" s="460"/>
      <c r="C60" s="460"/>
      <c r="D60" s="460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461"/>
      <c r="R60" s="462"/>
      <c r="S60" s="463" t="s">
        <v>1659</v>
      </c>
      <c r="T60" s="464"/>
      <c r="U60" s="464"/>
      <c r="V60" s="464"/>
      <c r="W60" s="461" t="s">
        <v>1729</v>
      </c>
      <c r="X60" s="461"/>
      <c r="Y60" s="461"/>
      <c r="Z60" s="462"/>
      <c r="AA60" s="465" t="s">
        <v>2336</v>
      </c>
      <c r="AB60" s="466" t="s">
        <v>1785</v>
      </c>
    </row>
    <row r="61" spans="1:28" ht="13.5" thickBot="1">
      <c r="A61" s="470"/>
      <c r="B61" s="369" t="s">
        <v>1065</v>
      </c>
      <c r="C61" s="369"/>
      <c r="D61" s="470"/>
      <c r="E61" s="356" t="s">
        <v>1066</v>
      </c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6"/>
      <c r="R61" s="471"/>
      <c r="S61" s="472"/>
      <c r="T61" s="472"/>
      <c r="U61" s="472"/>
      <c r="V61" s="472"/>
      <c r="W61" s="472"/>
      <c r="X61" s="472"/>
      <c r="Y61" s="472"/>
      <c r="Z61" s="472"/>
      <c r="AA61" s="473"/>
      <c r="AB61" s="473"/>
    </row>
    <row r="62" spans="1:28" ht="12.75">
      <c r="A62" s="474"/>
      <c r="B62" s="355" t="s">
        <v>1492</v>
      </c>
      <c r="C62" s="355"/>
      <c r="D62" s="355"/>
      <c r="E62" s="354" t="s">
        <v>1067</v>
      </c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474" t="s">
        <v>1068</v>
      </c>
      <c r="S62" s="475"/>
      <c r="T62" s="475"/>
      <c r="U62" s="475"/>
      <c r="V62" s="475"/>
      <c r="W62" s="475"/>
      <c r="X62" s="475"/>
      <c r="Y62" s="475"/>
      <c r="Z62" s="475"/>
      <c r="AA62" s="476"/>
      <c r="AB62" s="476"/>
    </row>
    <row r="63" spans="1:28" ht="12.75">
      <c r="A63" s="474"/>
      <c r="B63" s="352" t="s">
        <v>1496</v>
      </c>
      <c r="C63" s="352"/>
      <c r="D63" s="352"/>
      <c r="E63" s="343" t="s">
        <v>1069</v>
      </c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474" t="s">
        <v>1070</v>
      </c>
      <c r="S63" s="477"/>
      <c r="T63" s="477"/>
      <c r="U63" s="477"/>
      <c r="V63" s="477"/>
      <c r="W63" s="477"/>
      <c r="X63" s="477"/>
      <c r="Y63" s="477"/>
      <c r="Z63" s="477"/>
      <c r="AA63" s="476"/>
      <c r="AB63" s="476"/>
    </row>
    <row r="64" spans="1:28" ht="4.5" customHeight="1" thickBot="1">
      <c r="A64" s="492"/>
      <c r="B64" s="492"/>
      <c r="C64" s="492"/>
      <c r="D64" s="492"/>
      <c r="E64" s="492"/>
      <c r="F64" s="492"/>
      <c r="G64" s="492"/>
      <c r="H64" s="492"/>
      <c r="I64" s="492"/>
      <c r="J64" s="492"/>
      <c r="K64" s="492"/>
      <c r="L64" s="492"/>
      <c r="M64" s="492"/>
      <c r="N64" s="492"/>
      <c r="O64" s="492"/>
      <c r="P64" s="492"/>
      <c r="Q64" s="492"/>
      <c r="R64" s="492"/>
      <c r="S64" s="492"/>
      <c r="T64" s="492"/>
      <c r="U64" s="492"/>
      <c r="V64" s="492"/>
      <c r="W64" s="492"/>
      <c r="X64" s="492"/>
      <c r="Y64" s="492"/>
      <c r="Z64" s="492"/>
      <c r="AA64" s="492"/>
      <c r="AB64" s="492"/>
    </row>
    <row r="65" spans="1:28" ht="13.5" thickBot="1">
      <c r="A65" s="491"/>
      <c r="B65" s="491"/>
      <c r="C65" s="491"/>
      <c r="D65" s="491"/>
      <c r="E65" s="491"/>
      <c r="F65" s="491"/>
      <c r="G65" s="491"/>
      <c r="H65" s="491"/>
      <c r="I65" s="491"/>
      <c r="J65" s="491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1"/>
      <c r="W65" s="491"/>
      <c r="X65" s="491"/>
      <c r="Y65" s="491"/>
      <c r="Z65" s="491"/>
      <c r="AA65" s="491"/>
      <c r="AB65" s="491"/>
    </row>
    <row r="66" spans="1:28" ht="13.5" thickBot="1">
      <c r="A66" s="470"/>
      <c r="B66" s="369" t="s">
        <v>1071</v>
      </c>
      <c r="C66" s="369"/>
      <c r="D66" s="470"/>
      <c r="E66" s="356" t="s">
        <v>1072</v>
      </c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356"/>
      <c r="Q66" s="356"/>
      <c r="R66" s="471"/>
      <c r="S66" s="472"/>
      <c r="T66" s="472"/>
      <c r="U66" s="472"/>
      <c r="V66" s="472"/>
      <c r="W66" s="472"/>
      <c r="X66" s="472"/>
      <c r="Y66" s="472"/>
      <c r="Z66" s="472"/>
      <c r="AA66" s="473"/>
      <c r="AB66" s="473"/>
    </row>
    <row r="67" spans="1:28" ht="12.75">
      <c r="A67" s="474"/>
      <c r="B67" s="355" t="s">
        <v>1492</v>
      </c>
      <c r="C67" s="355"/>
      <c r="D67" s="355"/>
      <c r="E67" s="354" t="s">
        <v>1072</v>
      </c>
      <c r="F67" s="354"/>
      <c r="G67" s="354"/>
      <c r="H67" s="354"/>
      <c r="I67" s="354"/>
      <c r="J67" s="354"/>
      <c r="K67" s="354"/>
      <c r="L67" s="354"/>
      <c r="M67" s="354"/>
      <c r="N67" s="354"/>
      <c r="O67" s="354"/>
      <c r="P67" s="354"/>
      <c r="Q67" s="354"/>
      <c r="R67" s="474" t="s">
        <v>1073</v>
      </c>
      <c r="S67" s="475"/>
      <c r="T67" s="475"/>
      <c r="U67" s="475"/>
      <c r="V67" s="475"/>
      <c r="W67" s="475"/>
      <c r="X67" s="475"/>
      <c r="Y67" s="475"/>
      <c r="Z67" s="475"/>
      <c r="AA67" s="476"/>
      <c r="AB67" s="476"/>
    </row>
    <row r="68" spans="1:28" ht="13.5" thickBot="1">
      <c r="A68" s="474"/>
      <c r="B68" s="353" t="s">
        <v>1496</v>
      </c>
      <c r="C68" s="353"/>
      <c r="D68" s="353"/>
      <c r="E68" s="345" t="s">
        <v>1074</v>
      </c>
      <c r="F68" s="345"/>
      <c r="G68" s="345"/>
      <c r="H68" s="345"/>
      <c r="I68" s="345"/>
      <c r="J68" s="345"/>
      <c r="K68" s="345"/>
      <c r="L68" s="345"/>
      <c r="M68" s="345"/>
      <c r="N68" s="345"/>
      <c r="O68" s="345"/>
      <c r="P68" s="345"/>
      <c r="Q68" s="345"/>
      <c r="R68" s="474" t="s">
        <v>1075</v>
      </c>
      <c r="S68" s="479"/>
      <c r="T68" s="479"/>
      <c r="U68" s="479"/>
      <c r="V68" s="479"/>
      <c r="W68" s="479"/>
      <c r="X68" s="479"/>
      <c r="Y68" s="479"/>
      <c r="Z68" s="479"/>
      <c r="AA68" s="476"/>
      <c r="AB68" s="476"/>
    </row>
    <row r="69" spans="1:28" ht="13.5" thickBot="1">
      <c r="A69" s="363" t="s">
        <v>1076</v>
      </c>
      <c r="B69" s="363"/>
      <c r="C69" s="363"/>
      <c r="D69" s="363"/>
      <c r="E69" s="363" t="s">
        <v>1077</v>
      </c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467"/>
      <c r="S69" s="468">
        <v>12016928.93</v>
      </c>
      <c r="T69" s="468"/>
      <c r="U69" s="468"/>
      <c r="V69" s="468"/>
      <c r="W69" s="468">
        <v>214627.92</v>
      </c>
      <c r="X69" s="468"/>
      <c r="Y69" s="468"/>
      <c r="Z69" s="468"/>
      <c r="AA69" s="469">
        <v>14384945.89</v>
      </c>
      <c r="AB69" s="469"/>
    </row>
    <row r="70" spans="1:28" ht="4.5" customHeight="1" thickBot="1">
      <c r="A70" s="492"/>
      <c r="B70" s="492"/>
      <c r="C70" s="492"/>
      <c r="D70" s="492"/>
      <c r="E70" s="492"/>
      <c r="F70" s="492"/>
      <c r="G70" s="492"/>
      <c r="H70" s="492"/>
      <c r="I70" s="492"/>
      <c r="J70" s="492"/>
      <c r="K70" s="492"/>
      <c r="L70" s="492"/>
      <c r="M70" s="492"/>
      <c r="N70" s="492"/>
      <c r="O70" s="492"/>
      <c r="P70" s="492"/>
      <c r="Q70" s="492"/>
      <c r="R70" s="492"/>
      <c r="S70" s="492"/>
      <c r="T70" s="492"/>
      <c r="U70" s="492"/>
      <c r="V70" s="492"/>
      <c r="W70" s="492"/>
      <c r="X70" s="492"/>
      <c r="Y70" s="492"/>
      <c r="Z70" s="492"/>
      <c r="AA70" s="492"/>
      <c r="AB70" s="492"/>
    </row>
    <row r="71" spans="1:28" ht="13.5" thickBot="1">
      <c r="A71" s="470"/>
      <c r="B71" s="369" t="s">
        <v>965</v>
      </c>
      <c r="C71" s="369"/>
      <c r="D71" s="470"/>
      <c r="E71" s="356" t="s">
        <v>1078</v>
      </c>
      <c r="F71" s="356"/>
      <c r="G71" s="356"/>
      <c r="H71" s="356"/>
      <c r="I71" s="356"/>
      <c r="J71" s="356"/>
      <c r="K71" s="356"/>
      <c r="L71" s="356"/>
      <c r="M71" s="356"/>
      <c r="N71" s="356"/>
      <c r="O71" s="356"/>
      <c r="P71" s="356"/>
      <c r="Q71" s="356"/>
      <c r="R71" s="471"/>
      <c r="S71" s="472">
        <v>1206014</v>
      </c>
      <c r="T71" s="472"/>
      <c r="U71" s="472"/>
      <c r="V71" s="472"/>
      <c r="W71" s="472">
        <v>214627.92</v>
      </c>
      <c r="X71" s="472"/>
      <c r="Y71" s="472"/>
      <c r="Z71" s="472"/>
      <c r="AA71" s="473">
        <v>2427558.03</v>
      </c>
      <c r="AB71" s="473"/>
    </row>
    <row r="72" spans="1:28" ht="12.75">
      <c r="A72" s="474"/>
      <c r="B72" s="355" t="s">
        <v>1492</v>
      </c>
      <c r="C72" s="355"/>
      <c r="D72" s="355"/>
      <c r="E72" s="354" t="s">
        <v>1079</v>
      </c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474" t="s">
        <v>1080</v>
      </c>
      <c r="S72" s="475"/>
      <c r="T72" s="475"/>
      <c r="U72" s="475"/>
      <c r="V72" s="475"/>
      <c r="W72" s="475"/>
      <c r="X72" s="475"/>
      <c r="Y72" s="475"/>
      <c r="Z72" s="475"/>
      <c r="AA72" s="476"/>
      <c r="AB72" s="476"/>
    </row>
    <row r="73" spans="1:28" ht="12.75">
      <c r="A73" s="474"/>
      <c r="B73" s="352" t="s">
        <v>1496</v>
      </c>
      <c r="C73" s="352"/>
      <c r="D73" s="352"/>
      <c r="E73" s="343" t="s">
        <v>1081</v>
      </c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474" t="s">
        <v>1082</v>
      </c>
      <c r="S73" s="477">
        <v>1206014</v>
      </c>
      <c r="T73" s="477"/>
      <c r="U73" s="477"/>
      <c r="V73" s="477"/>
      <c r="W73" s="477">
        <v>214627.92</v>
      </c>
      <c r="X73" s="477"/>
      <c r="Y73" s="477"/>
      <c r="Z73" s="477"/>
      <c r="AA73" s="476">
        <v>626126</v>
      </c>
      <c r="AB73" s="476"/>
    </row>
    <row r="74" spans="1:28" ht="12.75">
      <c r="A74" s="474"/>
      <c r="B74" s="352" t="s">
        <v>1500</v>
      </c>
      <c r="C74" s="352"/>
      <c r="D74" s="352"/>
      <c r="E74" s="343" t="s">
        <v>1083</v>
      </c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474" t="s">
        <v>1084</v>
      </c>
      <c r="S74" s="477"/>
      <c r="T74" s="477"/>
      <c r="U74" s="477"/>
      <c r="V74" s="477"/>
      <c r="W74" s="477"/>
      <c r="X74" s="477"/>
      <c r="Y74" s="477"/>
      <c r="Z74" s="477"/>
      <c r="AA74" s="476"/>
      <c r="AB74" s="476"/>
    </row>
    <row r="75" spans="1:28" ht="12.75">
      <c r="A75" s="474"/>
      <c r="B75" s="352" t="s">
        <v>1506</v>
      </c>
      <c r="C75" s="352"/>
      <c r="D75" s="352"/>
      <c r="E75" s="343" t="s">
        <v>1085</v>
      </c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474" t="s">
        <v>1086</v>
      </c>
      <c r="S75" s="477"/>
      <c r="T75" s="477"/>
      <c r="U75" s="477"/>
      <c r="V75" s="477"/>
      <c r="W75" s="477"/>
      <c r="X75" s="477"/>
      <c r="Y75" s="477"/>
      <c r="Z75" s="477"/>
      <c r="AA75" s="476"/>
      <c r="AB75" s="476"/>
    </row>
    <row r="76" spans="1:28" ht="12.75">
      <c r="A76" s="474"/>
      <c r="B76" s="352" t="s">
        <v>1527</v>
      </c>
      <c r="C76" s="352"/>
      <c r="D76" s="352"/>
      <c r="E76" s="343" t="s">
        <v>1087</v>
      </c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474" t="s">
        <v>1088</v>
      </c>
      <c r="S76" s="477"/>
      <c r="T76" s="477"/>
      <c r="U76" s="477"/>
      <c r="V76" s="477"/>
      <c r="W76" s="477"/>
      <c r="X76" s="477"/>
      <c r="Y76" s="477"/>
      <c r="Z76" s="477"/>
      <c r="AA76" s="476"/>
      <c r="AB76" s="476"/>
    </row>
    <row r="77" spans="1:28" ht="12.75">
      <c r="A77" s="474"/>
      <c r="B77" s="352" t="s">
        <v>1529</v>
      </c>
      <c r="C77" s="352"/>
      <c r="D77" s="352"/>
      <c r="E77" s="343" t="s">
        <v>1011</v>
      </c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474" t="s">
        <v>1089</v>
      </c>
      <c r="S77" s="477"/>
      <c r="T77" s="477"/>
      <c r="U77" s="477"/>
      <c r="V77" s="477"/>
      <c r="W77" s="477"/>
      <c r="X77" s="477"/>
      <c r="Y77" s="477"/>
      <c r="Z77" s="477"/>
      <c r="AA77" s="476"/>
      <c r="AB77" s="476"/>
    </row>
    <row r="78" spans="1:28" ht="12.75">
      <c r="A78" s="474"/>
      <c r="B78" s="352" t="s">
        <v>1531</v>
      </c>
      <c r="C78" s="352"/>
      <c r="D78" s="352"/>
      <c r="E78" s="343" t="s">
        <v>1013</v>
      </c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474" t="s">
        <v>1090</v>
      </c>
      <c r="S78" s="477"/>
      <c r="T78" s="477"/>
      <c r="U78" s="477"/>
      <c r="V78" s="477"/>
      <c r="W78" s="477"/>
      <c r="X78" s="477"/>
      <c r="Y78" s="477"/>
      <c r="Z78" s="477"/>
      <c r="AA78" s="476"/>
      <c r="AB78" s="476"/>
    </row>
    <row r="79" spans="1:28" ht="12.75">
      <c r="A79" s="474"/>
      <c r="B79" s="352" t="s">
        <v>982</v>
      </c>
      <c r="C79" s="352"/>
      <c r="D79" s="352"/>
      <c r="E79" s="343" t="s">
        <v>1091</v>
      </c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474" t="s">
        <v>1092</v>
      </c>
      <c r="S79" s="477"/>
      <c r="T79" s="477"/>
      <c r="U79" s="477"/>
      <c r="V79" s="477"/>
      <c r="W79" s="477"/>
      <c r="X79" s="477"/>
      <c r="Y79" s="477"/>
      <c r="Z79" s="477"/>
      <c r="AA79" s="476"/>
      <c r="AB79" s="476"/>
    </row>
    <row r="80" spans="1:28" ht="12.75">
      <c r="A80" s="474"/>
      <c r="B80" s="352" t="s">
        <v>984</v>
      </c>
      <c r="C80" s="352"/>
      <c r="D80" s="352"/>
      <c r="E80" s="343" t="s">
        <v>1093</v>
      </c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474" t="s">
        <v>1094</v>
      </c>
      <c r="S80" s="477"/>
      <c r="T80" s="477"/>
      <c r="U80" s="477"/>
      <c r="V80" s="477"/>
      <c r="W80" s="477"/>
      <c r="X80" s="477"/>
      <c r="Y80" s="477"/>
      <c r="Z80" s="477"/>
      <c r="AA80" s="476"/>
      <c r="AB80" s="476"/>
    </row>
    <row r="81" spans="1:28" ht="12.75">
      <c r="A81" s="474"/>
      <c r="B81" s="352" t="s">
        <v>987</v>
      </c>
      <c r="C81" s="352"/>
      <c r="D81" s="352"/>
      <c r="E81" s="343" t="s">
        <v>1095</v>
      </c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474" t="s">
        <v>1096</v>
      </c>
      <c r="S81" s="477"/>
      <c r="T81" s="477"/>
      <c r="U81" s="477"/>
      <c r="V81" s="477"/>
      <c r="W81" s="477"/>
      <c r="X81" s="477"/>
      <c r="Y81" s="477"/>
      <c r="Z81" s="477"/>
      <c r="AA81" s="476"/>
      <c r="AB81" s="476"/>
    </row>
    <row r="82" spans="1:28" ht="12.75">
      <c r="A82" s="474"/>
      <c r="B82" s="352" t="s">
        <v>990</v>
      </c>
      <c r="C82" s="352"/>
      <c r="D82" s="352"/>
      <c r="E82" s="343" t="s">
        <v>1097</v>
      </c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474" t="s">
        <v>1098</v>
      </c>
      <c r="S82" s="477"/>
      <c r="T82" s="477"/>
      <c r="U82" s="477"/>
      <c r="V82" s="477"/>
      <c r="W82" s="477"/>
      <c r="X82" s="477"/>
      <c r="Y82" s="477"/>
      <c r="Z82" s="477"/>
      <c r="AA82" s="476"/>
      <c r="AB82" s="476"/>
    </row>
    <row r="83" spans="1:28" ht="12.75">
      <c r="A83" s="474"/>
      <c r="B83" s="352" t="s">
        <v>993</v>
      </c>
      <c r="C83" s="352"/>
      <c r="D83" s="352"/>
      <c r="E83" s="343" t="s">
        <v>1099</v>
      </c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474" t="s">
        <v>1100</v>
      </c>
      <c r="S83" s="477"/>
      <c r="T83" s="477"/>
      <c r="U83" s="477"/>
      <c r="V83" s="477"/>
      <c r="W83" s="477"/>
      <c r="X83" s="477"/>
      <c r="Y83" s="477"/>
      <c r="Z83" s="477"/>
      <c r="AA83" s="476"/>
      <c r="AB83" s="476"/>
    </row>
    <row r="84" spans="1:28" ht="12.75">
      <c r="A84" s="474"/>
      <c r="B84" s="352" t="s">
        <v>996</v>
      </c>
      <c r="C84" s="352"/>
      <c r="D84" s="352"/>
      <c r="E84" s="343" t="s">
        <v>1101</v>
      </c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474" t="s">
        <v>1102</v>
      </c>
      <c r="S84" s="477"/>
      <c r="T84" s="477"/>
      <c r="U84" s="477"/>
      <c r="V84" s="477"/>
      <c r="W84" s="477"/>
      <c r="X84" s="477"/>
      <c r="Y84" s="477"/>
      <c r="Z84" s="477"/>
      <c r="AA84" s="476">
        <v>1801432.03</v>
      </c>
      <c r="AB84" s="476"/>
    </row>
    <row r="85" spans="1:28" ht="12.75">
      <c r="A85" s="474"/>
      <c r="B85" s="352" t="s">
        <v>999</v>
      </c>
      <c r="C85" s="352"/>
      <c r="D85" s="352"/>
      <c r="E85" s="343" t="s">
        <v>1103</v>
      </c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474" t="s">
        <v>1104</v>
      </c>
      <c r="S85" s="477"/>
      <c r="T85" s="477"/>
      <c r="U85" s="477"/>
      <c r="V85" s="477"/>
      <c r="W85" s="477"/>
      <c r="X85" s="477"/>
      <c r="Y85" s="477"/>
      <c r="Z85" s="477"/>
      <c r="AA85" s="476"/>
      <c r="AB85" s="476"/>
    </row>
    <row r="86" spans="1:28" ht="13.5" thickBot="1">
      <c r="A86" s="491"/>
      <c r="B86" s="491"/>
      <c r="C86" s="491"/>
      <c r="D86" s="491"/>
      <c r="E86" s="491"/>
      <c r="F86" s="491"/>
      <c r="G86" s="491"/>
      <c r="H86" s="491"/>
      <c r="I86" s="491"/>
      <c r="J86" s="491"/>
      <c r="K86" s="491"/>
      <c r="L86" s="491"/>
      <c r="M86" s="491"/>
      <c r="N86" s="491"/>
      <c r="O86" s="491"/>
      <c r="P86" s="491"/>
      <c r="Q86" s="491"/>
      <c r="R86" s="491"/>
      <c r="S86" s="491"/>
      <c r="T86" s="491"/>
      <c r="U86" s="491"/>
      <c r="V86" s="491"/>
      <c r="W86" s="491"/>
      <c r="X86" s="491"/>
      <c r="Y86" s="491"/>
      <c r="Z86" s="491"/>
      <c r="AA86" s="491"/>
      <c r="AB86" s="491"/>
    </row>
    <row r="87" spans="1:28" ht="13.5" thickBot="1">
      <c r="A87" s="470"/>
      <c r="B87" s="369" t="s">
        <v>1053</v>
      </c>
      <c r="C87" s="369"/>
      <c r="D87" s="470"/>
      <c r="E87" s="356" t="s">
        <v>1105</v>
      </c>
      <c r="F87" s="356"/>
      <c r="G87" s="356"/>
      <c r="H87" s="356"/>
      <c r="I87" s="356"/>
      <c r="J87" s="356"/>
      <c r="K87" s="356"/>
      <c r="L87" s="356"/>
      <c r="M87" s="356"/>
      <c r="N87" s="356"/>
      <c r="O87" s="356"/>
      <c r="P87" s="356"/>
      <c r="Q87" s="356"/>
      <c r="R87" s="471"/>
      <c r="S87" s="472">
        <v>6537.35</v>
      </c>
      <c r="T87" s="472"/>
      <c r="U87" s="472"/>
      <c r="V87" s="472"/>
      <c r="W87" s="472"/>
      <c r="X87" s="472"/>
      <c r="Y87" s="472"/>
      <c r="Z87" s="472"/>
      <c r="AA87" s="473">
        <v>6043.86</v>
      </c>
      <c r="AB87" s="473"/>
    </row>
    <row r="88" spans="1:28" ht="12.75">
      <c r="A88" s="474"/>
      <c r="B88" s="355" t="s">
        <v>1492</v>
      </c>
      <c r="C88" s="355"/>
      <c r="D88" s="355"/>
      <c r="E88" s="354" t="s">
        <v>1106</v>
      </c>
      <c r="F88" s="354"/>
      <c r="G88" s="354"/>
      <c r="H88" s="354"/>
      <c r="I88" s="354"/>
      <c r="J88" s="354"/>
      <c r="K88" s="354"/>
      <c r="L88" s="354"/>
      <c r="M88" s="354"/>
      <c r="N88" s="354"/>
      <c r="O88" s="354"/>
      <c r="P88" s="354"/>
      <c r="Q88" s="354"/>
      <c r="R88" s="474" t="s">
        <v>1107</v>
      </c>
      <c r="S88" s="475"/>
      <c r="T88" s="475"/>
      <c r="U88" s="475"/>
      <c r="V88" s="475"/>
      <c r="W88" s="475"/>
      <c r="X88" s="475"/>
      <c r="Y88" s="475"/>
      <c r="Z88" s="475"/>
      <c r="AA88" s="476"/>
      <c r="AB88" s="476"/>
    </row>
    <row r="89" spans="1:28" ht="12.75">
      <c r="A89" s="474"/>
      <c r="B89" s="352" t="s">
        <v>1496</v>
      </c>
      <c r="C89" s="352"/>
      <c r="D89" s="352"/>
      <c r="E89" s="343" t="s">
        <v>1057</v>
      </c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474" t="s">
        <v>1108</v>
      </c>
      <c r="S89" s="477">
        <v>6537.35</v>
      </c>
      <c r="T89" s="477"/>
      <c r="U89" s="477"/>
      <c r="V89" s="477"/>
      <c r="W89" s="477"/>
      <c r="X89" s="477"/>
      <c r="Y89" s="477"/>
      <c r="Z89" s="477"/>
      <c r="AA89" s="476">
        <v>6043.86</v>
      </c>
      <c r="AB89" s="476"/>
    </row>
    <row r="90" spans="1:28" ht="12.75">
      <c r="A90" s="474"/>
      <c r="B90" s="352" t="s">
        <v>1500</v>
      </c>
      <c r="C90" s="352"/>
      <c r="D90" s="352"/>
      <c r="E90" s="343" t="s">
        <v>1109</v>
      </c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474" t="s">
        <v>1110</v>
      </c>
      <c r="S90" s="477"/>
      <c r="T90" s="477"/>
      <c r="U90" s="477"/>
      <c r="V90" s="477"/>
      <c r="W90" s="477"/>
      <c r="X90" s="477"/>
      <c r="Y90" s="477"/>
      <c r="Z90" s="477"/>
      <c r="AA90" s="476"/>
      <c r="AB90" s="476"/>
    </row>
    <row r="91" spans="1:28" ht="12.75">
      <c r="A91" s="474"/>
      <c r="B91" s="352" t="s">
        <v>1506</v>
      </c>
      <c r="C91" s="352"/>
      <c r="D91" s="352"/>
      <c r="E91" s="343" t="s">
        <v>1111</v>
      </c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474" t="s">
        <v>1112</v>
      </c>
      <c r="S91" s="477"/>
      <c r="T91" s="477"/>
      <c r="U91" s="477"/>
      <c r="V91" s="477"/>
      <c r="W91" s="477"/>
      <c r="X91" s="477"/>
      <c r="Y91" s="477"/>
      <c r="Z91" s="477"/>
      <c r="AA91" s="476"/>
      <c r="AB91" s="476"/>
    </row>
    <row r="92" spans="1:28" ht="12.75">
      <c r="A92" s="474"/>
      <c r="B92" s="352" t="s">
        <v>1515</v>
      </c>
      <c r="C92" s="352"/>
      <c r="D92" s="352"/>
      <c r="E92" s="343" t="s">
        <v>1113</v>
      </c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474" t="s">
        <v>1114</v>
      </c>
      <c r="S92" s="477"/>
      <c r="T92" s="477"/>
      <c r="U92" s="477"/>
      <c r="V92" s="477"/>
      <c r="W92" s="477"/>
      <c r="X92" s="477"/>
      <c r="Y92" s="477"/>
      <c r="Z92" s="477"/>
      <c r="AA92" s="476"/>
      <c r="AB92" s="476"/>
    </row>
    <row r="93" spans="1:28" ht="4.5" customHeight="1" thickBot="1">
      <c r="A93" s="492"/>
      <c r="B93" s="492"/>
      <c r="C93" s="492"/>
      <c r="D93" s="492"/>
      <c r="E93" s="492"/>
      <c r="F93" s="492"/>
      <c r="G93" s="492"/>
      <c r="H93" s="492"/>
      <c r="I93" s="492"/>
      <c r="J93" s="492"/>
      <c r="K93" s="492"/>
      <c r="L93" s="492"/>
      <c r="M93" s="492"/>
      <c r="N93" s="492"/>
      <c r="O93" s="492"/>
      <c r="P93" s="492"/>
      <c r="Q93" s="492"/>
      <c r="R93" s="492"/>
      <c r="S93" s="492"/>
      <c r="T93" s="492"/>
      <c r="U93" s="492"/>
      <c r="V93" s="492"/>
      <c r="W93" s="492"/>
      <c r="X93" s="492"/>
      <c r="Y93" s="492"/>
      <c r="Z93" s="492"/>
      <c r="AA93" s="492"/>
      <c r="AB93" s="492"/>
    </row>
    <row r="94" spans="1:28" ht="13.5" thickBot="1">
      <c r="A94" s="470"/>
      <c r="B94" s="369" t="s">
        <v>1115</v>
      </c>
      <c r="C94" s="369"/>
      <c r="D94" s="470"/>
      <c r="E94" s="356" t="s">
        <v>1116</v>
      </c>
      <c r="F94" s="356"/>
      <c r="G94" s="356"/>
      <c r="H94" s="356"/>
      <c r="I94" s="356"/>
      <c r="J94" s="356"/>
      <c r="K94" s="356"/>
      <c r="L94" s="356"/>
      <c r="M94" s="356"/>
      <c r="N94" s="356"/>
      <c r="O94" s="356"/>
      <c r="P94" s="356"/>
      <c r="Q94" s="356"/>
      <c r="R94" s="471"/>
      <c r="S94" s="472">
        <v>10804377.58</v>
      </c>
      <c r="T94" s="472"/>
      <c r="U94" s="472"/>
      <c r="V94" s="472"/>
      <c r="W94" s="472"/>
      <c r="X94" s="472"/>
      <c r="Y94" s="472"/>
      <c r="Z94" s="472"/>
      <c r="AA94" s="473">
        <v>11951344</v>
      </c>
      <c r="AB94" s="473"/>
    </row>
    <row r="95" spans="1:28" ht="12.75">
      <c r="A95" s="474"/>
      <c r="B95" s="355" t="s">
        <v>1492</v>
      </c>
      <c r="C95" s="355"/>
      <c r="D95" s="355"/>
      <c r="E95" s="354" t="s">
        <v>1117</v>
      </c>
      <c r="F95" s="354"/>
      <c r="G95" s="354"/>
      <c r="H95" s="354"/>
      <c r="I95" s="354"/>
      <c r="J95" s="354"/>
      <c r="K95" s="354"/>
      <c r="L95" s="354"/>
      <c r="M95" s="354"/>
      <c r="N95" s="354"/>
      <c r="O95" s="354"/>
      <c r="P95" s="354"/>
      <c r="Q95" s="354"/>
      <c r="R95" s="474" t="s">
        <v>1118</v>
      </c>
      <c r="S95" s="475"/>
      <c r="T95" s="475"/>
      <c r="U95" s="475"/>
      <c r="V95" s="475"/>
      <c r="W95" s="475"/>
      <c r="X95" s="475"/>
      <c r="Y95" s="475"/>
      <c r="Z95" s="475"/>
      <c r="AA95" s="476"/>
      <c r="AB95" s="476"/>
    </row>
    <row r="96" spans="1:28" ht="12.75">
      <c r="A96" s="474"/>
      <c r="B96" s="352" t="s">
        <v>1496</v>
      </c>
      <c r="C96" s="352"/>
      <c r="D96" s="352"/>
      <c r="E96" s="343" t="s">
        <v>1119</v>
      </c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474" t="s">
        <v>1120</v>
      </c>
      <c r="S96" s="477">
        <v>10804377.58</v>
      </c>
      <c r="T96" s="477"/>
      <c r="U96" s="477"/>
      <c r="V96" s="477"/>
      <c r="W96" s="477"/>
      <c r="X96" s="477"/>
      <c r="Y96" s="477"/>
      <c r="Z96" s="477"/>
      <c r="AA96" s="476">
        <v>11951344</v>
      </c>
      <c r="AB96" s="476"/>
    </row>
    <row r="97" spans="1:28" ht="4.5" customHeight="1" thickBot="1">
      <c r="A97" s="492"/>
      <c r="B97" s="492"/>
      <c r="C97" s="492"/>
      <c r="D97" s="492"/>
      <c r="E97" s="492"/>
      <c r="F97" s="492"/>
      <c r="G97" s="492"/>
      <c r="H97" s="492"/>
      <c r="I97" s="492"/>
      <c r="J97" s="492"/>
      <c r="K97" s="492"/>
      <c r="L97" s="492"/>
      <c r="M97" s="492"/>
      <c r="N97" s="492"/>
      <c r="O97" s="492"/>
      <c r="P97" s="492"/>
      <c r="Q97" s="492"/>
      <c r="R97" s="492"/>
      <c r="S97" s="492"/>
      <c r="T97" s="492"/>
      <c r="U97" s="492"/>
      <c r="V97" s="492"/>
      <c r="W97" s="492"/>
      <c r="X97" s="492"/>
      <c r="Y97" s="492"/>
      <c r="Z97" s="492"/>
      <c r="AA97" s="492"/>
      <c r="AB97" s="492"/>
    </row>
    <row r="98" spans="1:28" ht="13.5" thickBot="1">
      <c r="A98" s="470"/>
      <c r="B98" s="369" t="s">
        <v>1121</v>
      </c>
      <c r="C98" s="369"/>
      <c r="D98" s="470"/>
      <c r="E98" s="356" t="s">
        <v>1122</v>
      </c>
      <c r="F98" s="356"/>
      <c r="G98" s="356"/>
      <c r="H98" s="356"/>
      <c r="I98" s="356"/>
      <c r="J98" s="356"/>
      <c r="K98" s="356"/>
      <c r="L98" s="356"/>
      <c r="M98" s="356"/>
      <c r="N98" s="356"/>
      <c r="O98" s="356"/>
      <c r="P98" s="356"/>
      <c r="Q98" s="356"/>
      <c r="R98" s="471"/>
      <c r="S98" s="472"/>
      <c r="T98" s="472"/>
      <c r="U98" s="472"/>
      <c r="V98" s="472"/>
      <c r="W98" s="472"/>
      <c r="X98" s="472"/>
      <c r="Y98" s="472"/>
      <c r="Z98" s="472"/>
      <c r="AA98" s="473"/>
      <c r="AB98" s="473"/>
    </row>
    <row r="99" spans="1:28" ht="12.75">
      <c r="A99" s="474"/>
      <c r="B99" s="355" t="s">
        <v>1492</v>
      </c>
      <c r="C99" s="355"/>
      <c r="D99" s="355"/>
      <c r="E99" s="354" t="s">
        <v>1123</v>
      </c>
      <c r="F99" s="354"/>
      <c r="G99" s="354"/>
      <c r="H99" s="354"/>
      <c r="I99" s="354"/>
      <c r="J99" s="354"/>
      <c r="K99" s="354"/>
      <c r="L99" s="354"/>
      <c r="M99" s="354"/>
      <c r="N99" s="354"/>
      <c r="O99" s="354"/>
      <c r="P99" s="354"/>
      <c r="Q99" s="354"/>
      <c r="R99" s="474"/>
      <c r="S99" s="475"/>
      <c r="T99" s="475"/>
      <c r="U99" s="475"/>
      <c r="V99" s="475"/>
      <c r="W99" s="475">
        <v>5066</v>
      </c>
      <c r="X99" s="475"/>
      <c r="Y99" s="475"/>
      <c r="Z99" s="475"/>
      <c r="AA99" s="476"/>
      <c r="AB99" s="476"/>
    </row>
    <row r="100" spans="1:28" ht="12.75">
      <c r="A100" s="474"/>
      <c r="B100" s="352" t="s">
        <v>1496</v>
      </c>
      <c r="C100" s="352"/>
      <c r="D100" s="352"/>
      <c r="E100" s="343" t="s">
        <v>1124</v>
      </c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474"/>
      <c r="S100" s="477"/>
      <c r="T100" s="477"/>
      <c r="U100" s="477"/>
      <c r="V100" s="477"/>
      <c r="W100" s="477">
        <v>5066</v>
      </c>
      <c r="X100" s="477"/>
      <c r="Y100" s="477"/>
      <c r="Z100" s="477"/>
      <c r="AA100" s="476"/>
      <c r="AB100" s="476"/>
    </row>
    <row r="101" spans="1:28" ht="13.5" thickBot="1">
      <c r="A101" s="481" t="s">
        <v>1125</v>
      </c>
      <c r="B101" s="481"/>
      <c r="C101" s="481"/>
      <c r="D101" s="481"/>
      <c r="E101" s="481"/>
      <c r="F101" s="481"/>
      <c r="G101" s="481"/>
      <c r="H101" s="481"/>
      <c r="I101" s="481"/>
      <c r="J101" s="481"/>
      <c r="K101" s="481"/>
      <c r="L101" s="481"/>
      <c r="M101" s="481"/>
      <c r="N101" s="481"/>
      <c r="O101" s="481"/>
      <c r="P101" s="481"/>
      <c r="Q101" s="481"/>
      <c r="R101" s="481"/>
      <c r="S101" s="481"/>
      <c r="T101" s="481"/>
      <c r="U101" s="481"/>
      <c r="V101" s="481"/>
      <c r="W101" s="481"/>
      <c r="X101" s="481"/>
      <c r="Y101" s="481"/>
      <c r="Z101" s="481"/>
      <c r="AA101" s="481"/>
      <c r="AB101" s="481"/>
    </row>
    <row r="102" spans="1:28" ht="12.75">
      <c r="A102" s="447" t="s">
        <v>1140</v>
      </c>
      <c r="B102" s="447"/>
      <c r="C102" s="447"/>
      <c r="D102" s="447"/>
      <c r="E102" s="447"/>
      <c r="F102" s="447"/>
      <c r="G102" s="447"/>
      <c r="H102" s="447"/>
      <c r="I102" s="447"/>
      <c r="J102" s="447"/>
      <c r="K102" s="447"/>
      <c r="L102" s="447"/>
      <c r="M102" s="448" t="s">
        <v>1127</v>
      </c>
      <c r="N102" s="448"/>
      <c r="O102" s="448"/>
      <c r="P102" s="448"/>
      <c r="Q102" s="448"/>
      <c r="R102" s="448"/>
      <c r="S102" s="448"/>
      <c r="T102" s="448"/>
      <c r="U102" s="448"/>
      <c r="V102" s="448"/>
      <c r="W102" s="448"/>
      <c r="X102" s="448"/>
      <c r="Y102" s="449" t="s">
        <v>945</v>
      </c>
      <c r="Z102" s="449"/>
      <c r="AA102" s="449"/>
      <c r="AB102" s="449"/>
    </row>
  </sheetData>
  <mergeCells count="365">
    <mergeCell ref="A101:AB101"/>
    <mergeCell ref="A102:L102"/>
    <mergeCell ref="M102:X102"/>
    <mergeCell ref="Y102:AB102"/>
    <mergeCell ref="B100:D100"/>
    <mergeCell ref="E100:Q100"/>
    <mergeCell ref="S100:V100"/>
    <mergeCell ref="W100:Z100"/>
    <mergeCell ref="B99:D99"/>
    <mergeCell ref="E99:Q99"/>
    <mergeCell ref="S99:V99"/>
    <mergeCell ref="W99:Z99"/>
    <mergeCell ref="A97:AB97"/>
    <mergeCell ref="B98:C98"/>
    <mergeCell ref="E98:Q98"/>
    <mergeCell ref="S98:V98"/>
    <mergeCell ref="W98:Z98"/>
    <mergeCell ref="B96:D96"/>
    <mergeCell ref="E96:Q96"/>
    <mergeCell ref="S96:V96"/>
    <mergeCell ref="W96:Z96"/>
    <mergeCell ref="B95:D95"/>
    <mergeCell ref="E95:Q95"/>
    <mergeCell ref="S95:V95"/>
    <mergeCell ref="W95:Z95"/>
    <mergeCell ref="A93:AB93"/>
    <mergeCell ref="B94:C94"/>
    <mergeCell ref="E94:Q94"/>
    <mergeCell ref="S94:V94"/>
    <mergeCell ref="W94:Z94"/>
    <mergeCell ref="B92:D92"/>
    <mergeCell ref="E92:Q92"/>
    <mergeCell ref="S92:V92"/>
    <mergeCell ref="W92:Z92"/>
    <mergeCell ref="B91:D91"/>
    <mergeCell ref="E91:Q91"/>
    <mergeCell ref="S91:V91"/>
    <mergeCell ref="W91:Z91"/>
    <mergeCell ref="B90:D90"/>
    <mergeCell ref="E90:Q90"/>
    <mergeCell ref="S90:V90"/>
    <mergeCell ref="W90:Z90"/>
    <mergeCell ref="B89:D89"/>
    <mergeCell ref="E89:Q89"/>
    <mergeCell ref="S89:V89"/>
    <mergeCell ref="W89:Z89"/>
    <mergeCell ref="B88:D88"/>
    <mergeCell ref="E88:Q88"/>
    <mergeCell ref="S88:V88"/>
    <mergeCell ref="W88:Z88"/>
    <mergeCell ref="A86:AB86"/>
    <mergeCell ref="B87:C87"/>
    <mergeCell ref="E87:Q87"/>
    <mergeCell ref="S87:V87"/>
    <mergeCell ref="W87:Z87"/>
    <mergeCell ref="B85:D85"/>
    <mergeCell ref="E85:Q85"/>
    <mergeCell ref="S85:V85"/>
    <mergeCell ref="W85:Z85"/>
    <mergeCell ref="B84:D84"/>
    <mergeCell ref="E84:Q84"/>
    <mergeCell ref="S84:V84"/>
    <mergeCell ref="W84:Z84"/>
    <mergeCell ref="B83:D83"/>
    <mergeCell ref="E83:Q83"/>
    <mergeCell ref="S83:V83"/>
    <mergeCell ref="W83:Z83"/>
    <mergeCell ref="B82:D82"/>
    <mergeCell ref="E82:Q82"/>
    <mergeCell ref="S82:V82"/>
    <mergeCell ref="W82:Z82"/>
    <mergeCell ref="B81:D81"/>
    <mergeCell ref="E81:Q81"/>
    <mergeCell ref="S81:V81"/>
    <mergeCell ref="W81:Z81"/>
    <mergeCell ref="B80:D80"/>
    <mergeCell ref="E80:Q80"/>
    <mergeCell ref="S80:V80"/>
    <mergeCell ref="W80:Z80"/>
    <mergeCell ref="B79:D79"/>
    <mergeCell ref="E79:Q79"/>
    <mergeCell ref="S79:V79"/>
    <mergeCell ref="W79:Z79"/>
    <mergeCell ref="B78:D78"/>
    <mergeCell ref="E78:Q78"/>
    <mergeCell ref="S78:V78"/>
    <mergeCell ref="W78:Z78"/>
    <mergeCell ref="B77:D77"/>
    <mergeCell ref="E77:Q77"/>
    <mergeCell ref="S77:V77"/>
    <mergeCell ref="W77:Z77"/>
    <mergeCell ref="B76:D76"/>
    <mergeCell ref="E76:Q76"/>
    <mergeCell ref="S76:V76"/>
    <mergeCell ref="W76:Z76"/>
    <mergeCell ref="B75:D75"/>
    <mergeCell ref="E75:Q75"/>
    <mergeCell ref="S75:V75"/>
    <mergeCell ref="W75:Z75"/>
    <mergeCell ref="B74:D74"/>
    <mergeCell ref="E74:Q74"/>
    <mergeCell ref="S74:V74"/>
    <mergeCell ref="W74:Z74"/>
    <mergeCell ref="B73:D73"/>
    <mergeCell ref="E73:Q73"/>
    <mergeCell ref="S73:V73"/>
    <mergeCell ref="W73:Z73"/>
    <mergeCell ref="B72:D72"/>
    <mergeCell ref="E72:Q72"/>
    <mergeCell ref="S72:V72"/>
    <mergeCell ref="W72:Z72"/>
    <mergeCell ref="W69:Z69"/>
    <mergeCell ref="A70:AB70"/>
    <mergeCell ref="B71:C71"/>
    <mergeCell ref="E71:Q71"/>
    <mergeCell ref="S71:V71"/>
    <mergeCell ref="W71:Z71"/>
    <mergeCell ref="A69:B69"/>
    <mergeCell ref="C69:D69"/>
    <mergeCell ref="E69:Q69"/>
    <mergeCell ref="S69:V69"/>
    <mergeCell ref="B68:D68"/>
    <mergeCell ref="E68:Q68"/>
    <mergeCell ref="S68:V68"/>
    <mergeCell ref="W68:Z68"/>
    <mergeCell ref="B67:D67"/>
    <mergeCell ref="E67:Q67"/>
    <mergeCell ref="S67:V67"/>
    <mergeCell ref="W67:Z67"/>
    <mergeCell ref="A64:AB64"/>
    <mergeCell ref="A65:AB65"/>
    <mergeCell ref="B66:C66"/>
    <mergeCell ref="E66:Q66"/>
    <mergeCell ref="S66:V66"/>
    <mergeCell ref="W66:Z66"/>
    <mergeCell ref="B63:D63"/>
    <mergeCell ref="E63:Q63"/>
    <mergeCell ref="S63:V63"/>
    <mergeCell ref="W63:Z63"/>
    <mergeCell ref="B62:D62"/>
    <mergeCell ref="E62:Q62"/>
    <mergeCell ref="S62:V62"/>
    <mergeCell ref="W62:Z62"/>
    <mergeCell ref="B61:C61"/>
    <mergeCell ref="E61:Q61"/>
    <mergeCell ref="S61:V61"/>
    <mergeCell ref="W61:Z61"/>
    <mergeCell ref="W59:Z59"/>
    <mergeCell ref="A60:D60"/>
    <mergeCell ref="E60:P60"/>
    <mergeCell ref="Q60:R60"/>
    <mergeCell ref="S60:V60"/>
    <mergeCell ref="W60:Z60"/>
    <mergeCell ref="A59:D59"/>
    <mergeCell ref="E59:P59"/>
    <mergeCell ref="Q59:R59"/>
    <mergeCell ref="S59:V59"/>
    <mergeCell ref="A57:AB57"/>
    <mergeCell ref="A58:D58"/>
    <mergeCell ref="E58:P58"/>
    <mergeCell ref="Q58:R58"/>
    <mergeCell ref="S58:Z58"/>
    <mergeCell ref="AA58:AB58"/>
    <mergeCell ref="B56:D56"/>
    <mergeCell ref="E56:Q56"/>
    <mergeCell ref="S56:V56"/>
    <mergeCell ref="W56:Z56"/>
    <mergeCell ref="B55:D55"/>
    <mergeCell ref="E55:Q55"/>
    <mergeCell ref="S55:V55"/>
    <mergeCell ref="W55:Z55"/>
    <mergeCell ref="B54:D54"/>
    <mergeCell ref="E54:Q54"/>
    <mergeCell ref="S54:V54"/>
    <mergeCell ref="W54:Z54"/>
    <mergeCell ref="B53:D53"/>
    <mergeCell ref="E53:Q53"/>
    <mergeCell ref="S53:V53"/>
    <mergeCell ref="W53:Z53"/>
    <mergeCell ref="B52:D52"/>
    <mergeCell ref="E52:Q52"/>
    <mergeCell ref="S52:V52"/>
    <mergeCell ref="W52:Z52"/>
    <mergeCell ref="A50:AB50"/>
    <mergeCell ref="B51:C51"/>
    <mergeCell ref="E51:Q51"/>
    <mergeCell ref="S51:V51"/>
    <mergeCell ref="W51:Z51"/>
    <mergeCell ref="B49:D49"/>
    <mergeCell ref="E49:Q49"/>
    <mergeCell ref="S49:V49"/>
    <mergeCell ref="W49:Z49"/>
    <mergeCell ref="B48:D48"/>
    <mergeCell ref="E48:Q48"/>
    <mergeCell ref="S48:V48"/>
    <mergeCell ref="W48:Z48"/>
    <mergeCell ref="B47:D47"/>
    <mergeCell ref="E47:Q47"/>
    <mergeCell ref="S47:V47"/>
    <mergeCell ref="W47:Z47"/>
    <mergeCell ref="B46:D46"/>
    <mergeCell ref="E46:Q46"/>
    <mergeCell ref="S46:V46"/>
    <mergeCell ref="W46:Z46"/>
    <mergeCell ref="B45:D45"/>
    <mergeCell ref="E45:Q45"/>
    <mergeCell ref="S45:V45"/>
    <mergeCell ref="W45:Z45"/>
    <mergeCell ref="B44:D44"/>
    <mergeCell ref="E44:Q44"/>
    <mergeCell ref="S44:V44"/>
    <mergeCell ref="W44:Z44"/>
    <mergeCell ref="B43:D43"/>
    <mergeCell ref="E43:Q43"/>
    <mergeCell ref="S43:V43"/>
    <mergeCell ref="W43:Z43"/>
    <mergeCell ref="B42:D42"/>
    <mergeCell ref="E42:Q42"/>
    <mergeCell ref="S42:V42"/>
    <mergeCell ref="W42:Z42"/>
    <mergeCell ref="B41:D41"/>
    <mergeCell ref="E41:Q41"/>
    <mergeCell ref="S41:V41"/>
    <mergeCell ref="W41:Z41"/>
    <mergeCell ref="B40:D40"/>
    <mergeCell ref="E40:Q40"/>
    <mergeCell ref="S40:V40"/>
    <mergeCell ref="W40:Z40"/>
    <mergeCell ref="B39:D39"/>
    <mergeCell ref="E39:Q39"/>
    <mergeCell ref="S39:V39"/>
    <mergeCell ref="W39:Z39"/>
    <mergeCell ref="B38:D38"/>
    <mergeCell ref="E38:Q38"/>
    <mergeCell ref="S38:V38"/>
    <mergeCell ref="W38:Z38"/>
    <mergeCell ref="B37:D37"/>
    <mergeCell ref="E37:Q37"/>
    <mergeCell ref="S37:V37"/>
    <mergeCell ref="W37:Z37"/>
    <mergeCell ref="B36:D36"/>
    <mergeCell ref="E36:Q36"/>
    <mergeCell ref="S36:V36"/>
    <mergeCell ref="W36:Z36"/>
    <mergeCell ref="B35:D35"/>
    <mergeCell ref="E35:Q35"/>
    <mergeCell ref="S35:V35"/>
    <mergeCell ref="W35:Z35"/>
    <mergeCell ref="B34:D34"/>
    <mergeCell ref="E34:Q34"/>
    <mergeCell ref="S34:V34"/>
    <mergeCell ref="W34:Z34"/>
    <mergeCell ref="B33:D33"/>
    <mergeCell ref="E33:Q33"/>
    <mergeCell ref="S33:V33"/>
    <mergeCell ref="W33:Z33"/>
    <mergeCell ref="B32:D32"/>
    <mergeCell ref="E32:Q32"/>
    <mergeCell ref="S32:V32"/>
    <mergeCell ref="W32:Z32"/>
    <mergeCell ref="B31:D31"/>
    <mergeCell ref="E31:Q31"/>
    <mergeCell ref="S31:V31"/>
    <mergeCell ref="W31:Z31"/>
    <mergeCell ref="B30:D30"/>
    <mergeCell ref="E30:Q30"/>
    <mergeCell ref="S30:V30"/>
    <mergeCell ref="W30:Z30"/>
    <mergeCell ref="B29:D29"/>
    <mergeCell ref="E29:Q29"/>
    <mergeCell ref="S29:V29"/>
    <mergeCell ref="W29:Z29"/>
    <mergeCell ref="B28:D28"/>
    <mergeCell ref="E28:Q28"/>
    <mergeCell ref="S28:V28"/>
    <mergeCell ref="W28:Z28"/>
    <mergeCell ref="B27:D27"/>
    <mergeCell ref="E27:Q27"/>
    <mergeCell ref="S27:V27"/>
    <mergeCell ref="W27:Z27"/>
    <mergeCell ref="B26:D26"/>
    <mergeCell ref="E26:Q26"/>
    <mergeCell ref="S26:V26"/>
    <mergeCell ref="W26:Z26"/>
    <mergeCell ref="B25:D25"/>
    <mergeCell ref="E25:Q25"/>
    <mergeCell ref="S25:V25"/>
    <mergeCell ref="W25:Z25"/>
    <mergeCell ref="B24:D24"/>
    <mergeCell ref="E24:Q24"/>
    <mergeCell ref="S24:V24"/>
    <mergeCell ref="W24:Z24"/>
    <mergeCell ref="B23:D23"/>
    <mergeCell ref="E23:Q23"/>
    <mergeCell ref="S23:V23"/>
    <mergeCell ref="W23:Z23"/>
    <mergeCell ref="B22:D22"/>
    <mergeCell ref="E22:Q22"/>
    <mergeCell ref="S22:V22"/>
    <mergeCell ref="W22:Z22"/>
    <mergeCell ref="B21:D21"/>
    <mergeCell ref="E21:Q21"/>
    <mergeCell ref="S21:V21"/>
    <mergeCell ref="W21:Z21"/>
    <mergeCell ref="B20:D20"/>
    <mergeCell ref="E20:Q20"/>
    <mergeCell ref="S20:V20"/>
    <mergeCell ref="W20:Z20"/>
    <mergeCell ref="B19:D19"/>
    <mergeCell ref="E19:Q19"/>
    <mergeCell ref="S19:V19"/>
    <mergeCell ref="W19:Z19"/>
    <mergeCell ref="B18:D18"/>
    <mergeCell ref="E18:Q18"/>
    <mergeCell ref="S18:V18"/>
    <mergeCell ref="W18:Z18"/>
    <mergeCell ref="B17:D17"/>
    <mergeCell ref="E17:Q17"/>
    <mergeCell ref="S17:V17"/>
    <mergeCell ref="W17:Z17"/>
    <mergeCell ref="B16:D16"/>
    <mergeCell ref="E16:Q16"/>
    <mergeCell ref="S16:V16"/>
    <mergeCell ref="W16:Z16"/>
    <mergeCell ref="B15:D15"/>
    <mergeCell ref="E15:Q15"/>
    <mergeCell ref="S15:V15"/>
    <mergeCell ref="W15:Z15"/>
    <mergeCell ref="A13:AB13"/>
    <mergeCell ref="B14:C14"/>
    <mergeCell ref="E14:Q14"/>
    <mergeCell ref="S14:V14"/>
    <mergeCell ref="W14:Z14"/>
    <mergeCell ref="A11:AB11"/>
    <mergeCell ref="A12:B12"/>
    <mergeCell ref="C12:D12"/>
    <mergeCell ref="E12:Q12"/>
    <mergeCell ref="S12:V12"/>
    <mergeCell ref="W12:Z12"/>
    <mergeCell ref="W9:Z9"/>
    <mergeCell ref="A10:D10"/>
    <mergeCell ref="E10:P10"/>
    <mergeCell ref="Q10:R10"/>
    <mergeCell ref="S10:V10"/>
    <mergeCell ref="W10:Z10"/>
    <mergeCell ref="A9:D9"/>
    <mergeCell ref="E9:P9"/>
    <mergeCell ref="Q9:R9"/>
    <mergeCell ref="S9:V9"/>
    <mergeCell ref="A7:AB7"/>
    <mergeCell ref="A8:D8"/>
    <mergeCell ref="E8:P8"/>
    <mergeCell ref="Q8:R8"/>
    <mergeCell ref="S8:Z8"/>
    <mergeCell ref="AA8:AB8"/>
    <mergeCell ref="A4:H4"/>
    <mergeCell ref="I4:AB4"/>
    <mergeCell ref="A5:H5"/>
    <mergeCell ref="A6:H6"/>
    <mergeCell ref="A1:H1"/>
    <mergeCell ref="A2:H2"/>
    <mergeCell ref="I2:AB2"/>
    <mergeCell ref="A3:B3"/>
    <mergeCell ref="C3:H3"/>
    <mergeCell ref="I3:AB3"/>
  </mergeCells>
  <printOptions/>
  <pageMargins left="0.3937007874015748" right="0.3937007874015748" top="0.5905511811023623" bottom="0.5905511811023623" header="0.31496062992125984" footer="0.31496062992125984"/>
  <pageSetup horizontalDpi="200" verticalDpi="2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2"/>
  <sheetViews>
    <sheetView workbookViewId="0" topLeftCell="A1">
      <selection activeCell="D8" sqref="D8"/>
    </sheetView>
  </sheetViews>
  <sheetFormatPr defaultColWidth="9.140625" defaultRowHeight="12.75"/>
  <cols>
    <col min="1" max="1" width="35.7109375" style="244" customWidth="1"/>
    <col min="2" max="2" width="0" style="169" hidden="1" customWidth="1"/>
    <col min="3" max="3" width="11.7109375" style="188" customWidth="1"/>
    <col min="4" max="4" width="12.7109375" style="188" customWidth="1"/>
    <col min="5" max="5" width="9.28125" style="188" customWidth="1"/>
    <col min="6" max="6" width="7.7109375" style="188" customWidth="1"/>
    <col min="7" max="7" width="9.28125" style="188" customWidth="1"/>
    <col min="8" max="8" width="0" style="188" hidden="1" customWidth="1"/>
    <col min="9" max="9" width="12.28125" style="188" customWidth="1"/>
    <col min="10" max="10" width="10.28125" style="188" customWidth="1"/>
    <col min="11" max="11" width="9.8515625" style="188" customWidth="1"/>
    <col min="12" max="12" width="13.57421875" style="169" customWidth="1"/>
    <col min="13" max="14" width="14.7109375" style="242" customWidth="1"/>
    <col min="15" max="16" width="14.7109375" style="235" hidden="1" customWidth="1"/>
    <col min="17" max="17" width="11.00390625" style="188" customWidth="1"/>
    <col min="18" max="18" width="9.8515625" style="188" hidden="1" customWidth="1"/>
    <col min="19" max="19" width="11.00390625" style="188" customWidth="1"/>
    <col min="20" max="20" width="7.8515625" style="188" hidden="1" customWidth="1"/>
    <col min="21" max="21" width="11.57421875" style="188" customWidth="1"/>
    <col min="22" max="22" width="11.57421875" style="188" hidden="1" customWidth="1"/>
    <col min="23" max="24" width="11.7109375" style="188" customWidth="1"/>
    <col min="25" max="25" width="10.7109375" style="188" customWidth="1"/>
    <col min="26" max="26" width="10.7109375" style="188" hidden="1" customWidth="1"/>
    <col min="27" max="27" width="10.7109375" style="188" customWidth="1"/>
    <col min="28" max="29" width="5.7109375" style="188" hidden="1" customWidth="1"/>
    <col min="30" max="30" width="12.7109375" style="188" customWidth="1"/>
    <col min="31" max="31" width="10.28125" style="188" customWidth="1"/>
    <col min="32" max="32" width="12.7109375" style="188" customWidth="1"/>
    <col min="33" max="33" width="12.57421875" style="169" customWidth="1"/>
    <col min="34" max="34" width="15.00390625" style="169" customWidth="1"/>
    <col min="35" max="16384" width="9.140625" style="169" customWidth="1"/>
  </cols>
  <sheetData>
    <row r="1" spans="1:33" ht="12.75">
      <c r="A1" s="10"/>
      <c r="C1" s="333" t="s">
        <v>1350</v>
      </c>
      <c r="D1" s="334"/>
      <c r="E1" s="334"/>
      <c r="F1" s="334"/>
      <c r="G1" s="334"/>
      <c r="H1" s="334"/>
      <c r="I1" s="334"/>
      <c r="J1" s="334"/>
      <c r="K1" s="334"/>
      <c r="L1" s="334"/>
      <c r="M1" s="10"/>
      <c r="N1" s="10"/>
      <c r="O1" s="170"/>
      <c r="P1" s="170"/>
      <c r="Q1" s="335" t="s">
        <v>1351</v>
      </c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</row>
    <row r="2" spans="1:34" ht="33" customHeight="1">
      <c r="A2" s="171"/>
      <c r="C2" s="172" t="s">
        <v>1352</v>
      </c>
      <c r="D2" s="172" t="s">
        <v>1353</v>
      </c>
      <c r="E2" s="172" t="s">
        <v>1354</v>
      </c>
      <c r="F2" s="173" t="s">
        <v>1355</v>
      </c>
      <c r="G2" s="172" t="s">
        <v>1356</v>
      </c>
      <c r="H2" s="172" t="s">
        <v>1357</v>
      </c>
      <c r="I2" s="172" t="s">
        <v>1358</v>
      </c>
      <c r="J2" s="172" t="s">
        <v>1359</v>
      </c>
      <c r="K2" s="172" t="s">
        <v>1360</v>
      </c>
      <c r="L2" s="174" t="s">
        <v>1361</v>
      </c>
      <c r="M2" s="171"/>
      <c r="N2" s="171"/>
      <c r="O2" s="175"/>
      <c r="P2" s="175"/>
      <c r="Q2" s="173" t="s">
        <v>1362</v>
      </c>
      <c r="R2" s="173"/>
      <c r="S2" s="173" t="s">
        <v>1363</v>
      </c>
      <c r="T2" s="173" t="s">
        <v>1364</v>
      </c>
      <c r="U2" s="176" t="s">
        <v>1365</v>
      </c>
      <c r="V2" s="176"/>
      <c r="W2" s="173" t="s">
        <v>1366</v>
      </c>
      <c r="X2" s="173" t="s">
        <v>1367</v>
      </c>
      <c r="Y2" s="173" t="s">
        <v>1368</v>
      </c>
      <c r="Z2" s="173"/>
      <c r="AA2" s="173" t="s">
        <v>1369</v>
      </c>
      <c r="AB2" s="173" t="s">
        <v>1370</v>
      </c>
      <c r="AC2" s="173" t="s">
        <v>1371</v>
      </c>
      <c r="AD2" s="177" t="s">
        <v>1372</v>
      </c>
      <c r="AE2" s="173" t="s">
        <v>1373</v>
      </c>
      <c r="AF2" s="178" t="s">
        <v>1374</v>
      </c>
      <c r="AG2" s="179" t="s">
        <v>1375</v>
      </c>
      <c r="AH2" s="180" t="s">
        <v>1376</v>
      </c>
    </row>
    <row r="3" spans="1:34" ht="12.75">
      <c r="A3" s="181" t="s">
        <v>1377</v>
      </c>
      <c r="C3" s="182"/>
      <c r="D3" s="183">
        <f>729527.6*0+4/4*938685.99*0+5/5*1023630.43*0+6/6*1114114.07*0+7/7*1369834.36*0+8/8*1428954.68*0+9/9*1718110.57*0+10/10*1918742.36*0+12/12*1989601.15</f>
        <v>1989601.15</v>
      </c>
      <c r="E3" s="182"/>
      <c r="F3" s="182"/>
      <c r="G3" s="182">
        <f>15213*0+4/4*15610*0+5/5*22107*0+6/6*22787*0+7/7*24051*0+8/8*27923*0+9/9*28795*0+10/10*(29667*0+12/12*32911+642/642*2000)</f>
        <v>34911</v>
      </c>
      <c r="H3" s="182"/>
      <c r="I3" s="108">
        <f>-0.37*0+4/4*-0.43*0+5/5*0.18*0+6/6*0.06*0+7/7*0.44*0+8/8*-0.67*0+9/9*(-0.28*0+10/10*0.35*0+12/12*-1.35+27/27*-2761636.87+2238)</f>
        <v>-2759400.22</v>
      </c>
      <c r="J3" s="182">
        <f>646/646*341.64</f>
        <v>341.64</v>
      </c>
      <c r="K3" s="182">
        <f>28012.06*0+6/6*58044.05*0+9/9*86978.93*0+12/12*122900.4</f>
        <v>122900.4</v>
      </c>
      <c r="L3" s="184">
        <f>SUM(B3:K3)</f>
        <v>-611646.0300000003</v>
      </c>
      <c r="M3" s="185">
        <f>L3-I3*0-27/27*-2761636.87</f>
        <v>2149990.84</v>
      </c>
      <c r="N3" s="186"/>
      <c r="O3" s="187"/>
      <c r="P3" s="187"/>
      <c r="U3" s="182">
        <f>41/41*6/6*116857+10/10*31/31*8620.8*0+12/12*46169.94</f>
        <v>163026.94</v>
      </c>
      <c r="W3" s="188">
        <f>4/4*49*0+5/5*171.25*0+7/7*222.25*0+8/8*250.25*0+12/12*541</f>
        <v>541</v>
      </c>
      <c r="AA3" s="188">
        <f>6/6*4522/4522*1446+538/538*12/12*4260</f>
        <v>5706</v>
      </c>
      <c r="AD3" s="188">
        <f>8/8*-0.48</f>
        <v>-0.48</v>
      </c>
      <c r="AG3" s="184">
        <f>SUM(Q3:AF3)</f>
        <v>169273.46</v>
      </c>
      <c r="AH3" s="189">
        <f aca="true" t="shared" si="0" ref="AH3:AH65">L3-AG3</f>
        <v>-780919.4900000002</v>
      </c>
    </row>
    <row r="4" spans="1:34" ht="12.75">
      <c r="A4" s="181" t="s">
        <v>1378</v>
      </c>
      <c r="C4" s="182"/>
      <c r="D4" s="190"/>
      <c r="E4" s="182"/>
      <c r="F4" s="182"/>
      <c r="G4" s="182"/>
      <c r="H4" s="182"/>
      <c r="I4" s="182"/>
      <c r="J4" s="182"/>
      <c r="K4" s="182"/>
      <c r="L4" s="191">
        <f>SUM(B4:K4)</f>
        <v>0</v>
      </c>
      <c r="M4" s="192" t="s">
        <v>1379</v>
      </c>
      <c r="N4" s="186"/>
      <c r="O4" s="187"/>
      <c r="P4" s="187"/>
      <c r="Q4" s="182">
        <f>16523*0+4/4*17477*0+6/6*17647*0+8/8*18801*0+9/9*18906*0+10/10*19716*0+12/12*25693</f>
        <v>25693</v>
      </c>
      <c r="R4" s="182"/>
      <c r="S4" s="193">
        <f>8/8*19282</f>
        <v>19282</v>
      </c>
      <c r="U4" s="182">
        <f>23211.6</f>
        <v>23211.6</v>
      </c>
      <c r="W4" s="188">
        <f>15121.8*0+4/4*18636.6*0+5/5*22324.5*0+6/6*30927.4*0+7/7*40047.2*0+8/8*42483.2*0+9/9*49064.4*0+10/10*57606.8*0+12/12*77513.8</f>
        <v>77513.8</v>
      </c>
      <c r="AG4" s="184">
        <f>SUM(Q4:AF4)+1446*0</f>
        <v>145700.40000000002</v>
      </c>
      <c r="AH4" s="189">
        <f t="shared" si="0"/>
        <v>-145700.40000000002</v>
      </c>
    </row>
    <row r="5" spans="1:34" ht="12" customHeight="1">
      <c r="A5" s="181" t="s">
        <v>1380</v>
      </c>
      <c r="C5" s="182"/>
      <c r="D5" s="190"/>
      <c r="E5" s="182"/>
      <c r="F5" s="182"/>
      <c r="G5" s="182"/>
      <c r="H5" s="182"/>
      <c r="I5" s="182"/>
      <c r="J5" s="182"/>
      <c r="K5" s="182"/>
      <c r="L5" s="191">
        <f aca="true" t="shared" si="1" ref="L5:L94">SUM(B5:K5)</f>
        <v>0</v>
      </c>
      <c r="M5" s="186"/>
      <c r="N5" s="186"/>
      <c r="O5" s="187"/>
      <c r="P5" s="187"/>
      <c r="Q5" s="182"/>
      <c r="R5" s="182"/>
      <c r="U5" s="183">
        <f>5/5*32400</f>
        <v>32400</v>
      </c>
      <c r="V5" s="193"/>
      <c r="AG5" s="194">
        <f aca="true" t="shared" si="2" ref="AG5:AG13">SUM(Q5:AF5)</f>
        <v>32400</v>
      </c>
      <c r="AH5" s="189">
        <f t="shared" si="0"/>
        <v>-32400</v>
      </c>
    </row>
    <row r="6" spans="1:34" ht="12" customHeight="1">
      <c r="A6" s="181" t="s">
        <v>1381</v>
      </c>
      <c r="C6" s="183">
        <f>160766.97*0+4/4*223562.82*0+5/5*272935.04*0+6/6*325183.8*0+8/8*371581.98*0+9/9*429215.53*0+10/10*477630.29*0+12/12*565324.35</f>
        <v>565324.35</v>
      </c>
      <c r="D6" s="190"/>
      <c r="E6" s="182"/>
      <c r="F6" s="182"/>
      <c r="G6" s="182"/>
      <c r="H6" s="182"/>
      <c r="I6" s="182"/>
      <c r="J6" s="182"/>
      <c r="K6" s="182"/>
      <c r="L6" s="195">
        <f t="shared" si="1"/>
        <v>565324.35</v>
      </c>
      <c r="M6" s="186"/>
      <c r="N6" s="186"/>
      <c r="O6" s="187">
        <f>114257+106609-X6</f>
        <v>-172655</v>
      </c>
      <c r="P6" s="187">
        <f>38030+35438-Y6</f>
        <v>-57073</v>
      </c>
      <c r="Q6" s="182"/>
      <c r="R6" s="182"/>
      <c r="U6" s="182"/>
      <c r="W6" s="188">
        <f>94094.16*0+4/4*126579.17*0+5/5*160650.85*0+6/6*193288.46*0+8/8*226258.09*0+9/9*263037.62*0+10/10*290077.22*0+12/12*356054.12</f>
        <v>356054.12</v>
      </c>
      <c r="X6" s="188">
        <f>5/5*126729*0+9/9*256543*0+12/12*393521</f>
        <v>393521</v>
      </c>
      <c r="Y6" s="188">
        <f>5/5*42004*0+9/9*85056*0+12/12*130541</f>
        <v>130541</v>
      </c>
      <c r="AF6" s="188">
        <f>556/556*(-51.9*0+6/6*646.95*0+7/7*595.05*0+12/12*1576.15)</f>
        <v>1576.15</v>
      </c>
      <c r="AG6" s="196">
        <f t="shared" si="2"/>
        <v>881692.27</v>
      </c>
      <c r="AH6" s="189">
        <f t="shared" si="0"/>
        <v>-316367.92000000004</v>
      </c>
    </row>
    <row r="7" spans="1:34" ht="12.75">
      <c r="A7" s="197" t="s">
        <v>1382</v>
      </c>
      <c r="C7" s="182"/>
      <c r="D7" s="190"/>
      <c r="E7" s="182"/>
      <c r="F7" s="182"/>
      <c r="G7" s="182"/>
      <c r="H7" s="182"/>
      <c r="I7" s="182">
        <f>(107200.82+0.02)*0+4/4*107161.23*0+6/6*344184.13*0+9/9*(562764.8-0.26)*0+12/12*623634.57-0.48</f>
        <v>623634.09</v>
      </c>
      <c r="J7" s="182"/>
      <c r="K7" s="182"/>
      <c r="L7" s="195">
        <f>SUM(B7:K7)</f>
        <v>623634.09</v>
      </c>
      <c r="M7" s="186"/>
      <c r="N7" s="186"/>
      <c r="O7" s="187"/>
      <c r="P7" s="187"/>
      <c r="Q7" s="182"/>
      <c r="R7" s="182"/>
      <c r="U7" s="182"/>
      <c r="W7" s="188">
        <f>9/9*16339.45</f>
        <v>16339.45</v>
      </c>
      <c r="AA7" s="188">
        <f>538/538*4/4*30006*0+7/7*96373*0+12/12*157576</f>
        <v>157576</v>
      </c>
      <c r="AD7" s="188">
        <f>12/12*-9230.8</f>
        <v>-9230.8</v>
      </c>
      <c r="AG7" s="196">
        <f t="shared" si="2"/>
        <v>164684.65000000002</v>
      </c>
      <c r="AH7" s="189">
        <f>L7-AG7</f>
        <v>458949.43999999994</v>
      </c>
    </row>
    <row r="8" spans="1:34" ht="12.75">
      <c r="A8" s="197" t="s">
        <v>1383</v>
      </c>
      <c r="C8" s="182"/>
      <c r="D8" s="190"/>
      <c r="E8" s="182"/>
      <c r="F8" s="182"/>
      <c r="G8" s="182"/>
      <c r="H8" s="182"/>
      <c r="I8" s="182"/>
      <c r="J8" s="182"/>
      <c r="K8" s="182"/>
      <c r="L8" s="184">
        <f>SUM(B8:K8)</f>
        <v>0</v>
      </c>
      <c r="M8" s="186"/>
      <c r="N8" s="186"/>
      <c r="O8" s="187"/>
      <c r="P8" s="187"/>
      <c r="Q8" s="182"/>
      <c r="R8" s="182"/>
      <c r="U8" s="190">
        <f>21000*(0+6/6)+82297*0*6/6</f>
        <v>21000</v>
      </c>
      <c r="V8" s="193"/>
      <c r="AG8" s="194">
        <f t="shared" si="2"/>
        <v>21000</v>
      </c>
      <c r="AH8" s="189">
        <f>L8-AG8</f>
        <v>-21000</v>
      </c>
    </row>
    <row r="9" spans="1:34" ht="12.75">
      <c r="A9" s="197" t="s">
        <v>1384</v>
      </c>
      <c r="C9" s="182"/>
      <c r="D9" s="190"/>
      <c r="E9" s="182">
        <f>9517.62*0+(350/1.14-307.01754*0)*(3/3*(19+5+7)+4/4*4+5/5*5+6/6*4+7/7*1+8/8*10+9/9*2+10/10*3+12/12*8)+3/3*0.08+4/4*0.01+5/5*0.01+6/6*0.01*0+7/7*0.01053*0+8/8*0.03018*0+9/9*0.03509*0+10/10*0.04246*0+12/12*0.06702</f>
        <v>20877.36000245614</v>
      </c>
      <c r="F9" s="182"/>
      <c r="G9" s="182"/>
      <c r="H9" s="182"/>
      <c r="I9" s="182"/>
      <c r="J9" s="182"/>
      <c r="K9" s="182">
        <f>E9/(350/1.14)-45-8/8*8.000424-9/9*2-10/10*3-12/12*10.00012</f>
        <v>7.999990003781932E-09</v>
      </c>
      <c r="L9" s="195">
        <f>SUM(B9:K9)</f>
        <v>20877.36000246414</v>
      </c>
      <c r="M9" s="186"/>
      <c r="N9" s="186"/>
      <c r="O9" s="187"/>
      <c r="P9" s="187"/>
      <c r="Q9" s="182"/>
      <c r="R9" s="182"/>
      <c r="U9" s="182"/>
      <c r="AG9" s="191">
        <f t="shared" si="2"/>
        <v>0</v>
      </c>
      <c r="AH9" s="189">
        <f>L9-AG9</f>
        <v>20877.36000246414</v>
      </c>
    </row>
    <row r="10" spans="1:34" ht="12.75" customHeight="1" hidden="1">
      <c r="A10" s="197" t="s">
        <v>1385</v>
      </c>
      <c r="C10" s="182"/>
      <c r="D10" s="190"/>
      <c r="E10" s="182"/>
      <c r="F10" s="182"/>
      <c r="G10" s="182"/>
      <c r="H10" s="182"/>
      <c r="I10" s="182"/>
      <c r="J10" s="182"/>
      <c r="K10" s="182"/>
      <c r="L10" s="191">
        <f t="shared" si="1"/>
        <v>0</v>
      </c>
      <c r="M10" s="186"/>
      <c r="N10" s="186"/>
      <c r="O10" s="187"/>
      <c r="P10" s="187"/>
      <c r="Q10" s="182"/>
      <c r="R10" s="182"/>
      <c r="U10" s="182"/>
      <c r="AG10" s="191">
        <f t="shared" si="2"/>
        <v>0</v>
      </c>
      <c r="AH10" s="189">
        <f t="shared" si="0"/>
        <v>0</v>
      </c>
    </row>
    <row r="11" spans="1:34" ht="12.75" customHeight="1" hidden="1">
      <c r="A11" s="181" t="s">
        <v>1386</v>
      </c>
      <c r="C11" s="182"/>
      <c r="D11" s="190"/>
      <c r="E11" s="182"/>
      <c r="F11" s="182"/>
      <c r="G11" s="182"/>
      <c r="H11" s="182"/>
      <c r="I11" s="182"/>
      <c r="J11" s="182"/>
      <c r="K11" s="182"/>
      <c r="L11" s="191">
        <f t="shared" si="1"/>
        <v>0</v>
      </c>
      <c r="M11" s="186"/>
      <c r="N11" s="186"/>
      <c r="O11" s="187"/>
      <c r="P11" s="187"/>
      <c r="Q11" s="182"/>
      <c r="R11" s="182"/>
      <c r="U11" s="182"/>
      <c r="AG11" s="191">
        <f t="shared" si="2"/>
        <v>0</v>
      </c>
      <c r="AH11" s="189">
        <f t="shared" si="0"/>
        <v>0</v>
      </c>
    </row>
    <row r="12" spans="1:34" ht="12.75">
      <c r="A12" s="181" t="s">
        <v>1387</v>
      </c>
      <c r="C12" s="182"/>
      <c r="D12" s="190"/>
      <c r="E12" s="182"/>
      <c r="F12" s="182"/>
      <c r="G12" s="182"/>
      <c r="H12" s="182"/>
      <c r="I12" s="182">
        <f>50</f>
        <v>50</v>
      </c>
      <c r="J12" s="182"/>
      <c r="K12" s="182"/>
      <c r="L12" s="184">
        <f>SUM(B12:K12)</f>
        <v>50</v>
      </c>
      <c r="M12" s="186"/>
      <c r="N12" s="186"/>
      <c r="O12" s="187"/>
      <c r="P12" s="187"/>
      <c r="Q12" s="182">
        <f>251511/251511*4/4*761</f>
        <v>761</v>
      </c>
      <c r="R12" s="182"/>
      <c r="U12" s="182">
        <f>4/4*1344*0+6/6*(11810.4+251511/251511*1344)</f>
        <v>13154.4</v>
      </c>
      <c r="AF12" s="198">
        <f>338/338*11810.4+251511/251511*2105-AG12</f>
        <v>0</v>
      </c>
      <c r="AG12" s="194">
        <f>SUM(Q12:AE12)</f>
        <v>13915.4</v>
      </c>
      <c r="AH12" s="189">
        <f>L12-AG12</f>
        <v>-13865.4</v>
      </c>
    </row>
    <row r="13" spans="1:34" ht="12" customHeight="1">
      <c r="A13" s="181" t="s">
        <v>1388</v>
      </c>
      <c r="C13" s="182"/>
      <c r="D13" s="190"/>
      <c r="E13" s="182"/>
      <c r="F13" s="182"/>
      <c r="G13" s="182"/>
      <c r="H13" s="182"/>
      <c r="I13" s="182"/>
      <c r="J13" s="182"/>
      <c r="K13" s="182"/>
      <c r="L13" s="191">
        <f t="shared" si="1"/>
        <v>0</v>
      </c>
      <c r="M13" s="186"/>
      <c r="N13" s="186"/>
      <c r="O13" s="187"/>
      <c r="P13" s="187"/>
      <c r="Q13" s="190">
        <f>1724.82*0+12/12*9178.82</f>
        <v>9178.82</v>
      </c>
      <c r="R13" s="190"/>
      <c r="S13" s="193">
        <f>8/8*1720</f>
        <v>1720</v>
      </c>
      <c r="T13" s="199"/>
      <c r="U13" s="190">
        <f>61/61*5521.02+41/41*(4/4*9480*0+8/8*10092.18*0+12/12*23803.84)+130/130*6/6*2126.4+31/31*9/9*4422*0+12/12*7665</f>
        <v>39116.26</v>
      </c>
      <c r="V13" s="199"/>
      <c r="W13" s="199"/>
      <c r="X13" s="188">
        <f>5/5*12958*0+10/10*25916*0+12/12*38921</f>
        <v>38921</v>
      </c>
      <c r="Y13" s="188">
        <f>5/5*4406*0+10/10*8812*0+12/12*13235</f>
        <v>13235</v>
      </c>
      <c r="AG13" s="200">
        <f t="shared" si="2"/>
        <v>102171.08</v>
      </c>
      <c r="AH13" s="189">
        <f t="shared" si="0"/>
        <v>-102171.08</v>
      </c>
    </row>
    <row r="14" spans="1:34" ht="12.75">
      <c r="A14" s="181" t="s">
        <v>1389</v>
      </c>
      <c r="C14" s="182"/>
      <c r="D14" s="190"/>
      <c r="E14" s="182"/>
      <c r="F14" s="182"/>
      <c r="G14" s="182"/>
      <c r="H14" s="182"/>
      <c r="I14" s="182"/>
      <c r="J14" s="182"/>
      <c r="K14" s="182"/>
      <c r="L14" s="191">
        <f t="shared" si="1"/>
        <v>0</v>
      </c>
      <c r="M14" s="186"/>
      <c r="N14" s="186"/>
      <c r="O14" s="187"/>
      <c r="P14" s="187"/>
      <c r="Q14" s="190">
        <f>74/74*3418.86+75/75*1698.6</f>
        <v>5117.46</v>
      </c>
      <c r="R14" s="190"/>
      <c r="S14" s="183">
        <f>74/74*2662+75/75*(1600/1600*3204*0+4/4*2904)</f>
        <v>5566</v>
      </c>
      <c r="T14" s="190"/>
      <c r="U14" s="190">
        <f>62/62*(638.4*0+4/4*3364.4*0+8/8*10781.6*0+25356.5)+64/64*1088.7+74/74*(61/61*832.2+4/4*41/41*319)+75/75*(9955.62*0+4/4*11232.62*0+6/6*12933.74*0+8/8*28165.78*0+12/12*48426.78)+8/8*(5/5*5965*0+12/12*94668.37+954/954*2881.92)</f>
        <v>173573.46999999997</v>
      </c>
      <c r="V14" s="190"/>
      <c r="W14" s="190">
        <f>5/5*75/75*1000+7/7*954/954*54260</f>
        <v>55260</v>
      </c>
      <c r="AF14" s="198">
        <f>5/5*(5965*0+12/12*94668.37)+62/62*(10781.6*0+12/12*25356.5)+64/64*1088.7+74/74*7232.06+75/75*(30864.38*0+12/12*51125.38+751600/751600*2904)+954/954*57141.92-AG14</f>
        <v>0</v>
      </c>
      <c r="AG14" s="200">
        <f>SUM(Q14:AE14)-(74/74*(6119.2*0+7570.2*0+8/8*7232.06)+1600/1600*(6165*0+8/8*2904)+8/8*(5/5*5965+62/62*10781.6+64/64*1088.7+75/75*30864.38+954/954*57141.92))*0</f>
        <v>239516.92999999996</v>
      </c>
      <c r="AH14" s="189">
        <f t="shared" si="0"/>
        <v>-239516.92999999996</v>
      </c>
    </row>
    <row r="15" spans="1:34" ht="12.75">
      <c r="A15" s="201" t="s">
        <v>1390</v>
      </c>
      <c r="C15" s="182"/>
      <c r="D15" s="190"/>
      <c r="E15" s="182"/>
      <c r="F15" s="182"/>
      <c r="G15" s="182"/>
      <c r="H15" s="182"/>
      <c r="I15" s="182">
        <f>8/8*1062/1062*1305</f>
        <v>1305</v>
      </c>
      <c r="J15" s="182"/>
      <c r="K15" s="182"/>
      <c r="L15" s="202">
        <f>SUM(B15:K15)</f>
        <v>1305</v>
      </c>
      <c r="M15" s="186"/>
      <c r="N15" s="186"/>
      <c r="O15" s="187"/>
      <c r="P15" s="187"/>
      <c r="Q15" s="190">
        <f>12/12*7454+10611082/10611082*337</f>
        <v>7791</v>
      </c>
      <c r="R15" s="190"/>
      <c r="S15" s="183">
        <f>8/8*10611082/10611082*102998+12/12*(167+10631600/10631600*800)</f>
        <v>103965</v>
      </c>
      <c r="T15" s="190"/>
      <c r="U15" s="190">
        <f>1062/1062*(1744.2*0+6/6*6429.6*0+9/9*15340.6*0+12/12*19573.42)+4/4*1063/1063*(1459*0+12/12*16883.82)+6/6*1061/1061*(3701.58*0+10/10*211156.5*0+12/12*224715.52)+10611082/10611082*(9/9*9347*0+12/12*29577)</f>
        <v>290749.76</v>
      </c>
      <c r="V15" s="190"/>
      <c r="W15" s="190">
        <f>1061/1061*(762*0+7/7*1962*0+8/8*4482)+1062/1062*(402*0+7/7*1602)+1063/1063*(762*0+7/7*1962)</f>
        <v>8046</v>
      </c>
      <c r="X15" s="199">
        <f>5/5*14173*0+10/10*23284*0+12/12*32396</f>
        <v>32396</v>
      </c>
      <c r="Y15" s="199">
        <f>5/5*4821*0+10/10*7920*0+12/12*9472</f>
        <v>9472</v>
      </c>
      <c r="Z15" s="199"/>
      <c r="AA15" s="199"/>
      <c r="AF15" s="198">
        <f>1061/1061*8183.58*0+215638.5*0+12/12*236818.52+1062/1062*(16942.6*0+12/12*21175.42)+1063/1063*(3421*0+12/12*18845.82)+10611082/10611082*(131339*0+10/10*143549*0+12/12*174780)+10631600/10631600*800-AG15</f>
        <v>0</v>
      </c>
      <c r="AG15" s="200">
        <f>SUM(Q15:AE15)-(1061/1061*8183.58+1062/1062*8031.6+1063/1063*3421+10611082/10611082*121992)*0</f>
        <v>452419.76</v>
      </c>
      <c r="AH15" s="189">
        <f t="shared" si="0"/>
        <v>-451114.76</v>
      </c>
    </row>
    <row r="16" spans="1:34" ht="12" customHeight="1">
      <c r="A16" s="203" t="s">
        <v>1391</v>
      </c>
      <c r="C16" s="182"/>
      <c r="D16" s="190"/>
      <c r="E16" s="182"/>
      <c r="F16" s="182"/>
      <c r="G16" s="182"/>
      <c r="H16" s="182"/>
      <c r="I16" s="182"/>
      <c r="J16" s="182"/>
      <c r="K16" s="182"/>
      <c r="L16" s="202">
        <f>SUM(B16:K16)</f>
        <v>0</v>
      </c>
      <c r="M16" s="186"/>
      <c r="N16" s="186"/>
      <c r="O16" s="187"/>
      <c r="P16" s="187"/>
      <c r="Q16" s="190"/>
      <c r="R16" s="190"/>
      <c r="S16" s="183">
        <f>8/8*1065/1065*2702+1066/1066*25</f>
        <v>2727</v>
      </c>
      <c r="T16" s="190"/>
      <c r="U16" s="190">
        <f>1067/1067*(1223.22*0+4/4*(1542.22*0+6/6*9974.44*0+8/8*11330.44*0+12/12*19697.32)+1068/1068*(1389*0+6/6*131770.8*0+8/8*133366.8))+10651067/10651067*7/7*1440+8/8*1065/1065*(5734.2*0+12/12*6550.2)+12/12*(1066/1066*638.4+10651071/10651071*14074.44+10661068/10661068*638.4+10681080/10681080*1197)</f>
        <v>177602.56</v>
      </c>
      <c r="V16" s="190"/>
      <c r="W16" s="190">
        <f>1065/1065*(762*0+7/7*1962)+1066/1066*(402*0+7/7*1602)+1067/1067*(762*0+7/7*1962)+1068/1068*(2588*0+7/7*3788)</f>
        <v>9314</v>
      </c>
      <c r="X16" s="199"/>
      <c r="Y16" s="199"/>
      <c r="Z16" s="199"/>
      <c r="AA16" s="199"/>
      <c r="AF16" s="198">
        <f>1065/1065*10398.2*0+12/12*11214.2+1066/1066*1627*0+12/12*2265.4+1067/1067*(13292.44*0+12/12*21659.32)+1068/1068*137154.8+10651067/10651067*1440+10651071/10651071*14074.44+10661068/10661068*638.4+10681080/10681080*1197-AG16</f>
        <v>0</v>
      </c>
      <c r="AG16" s="200">
        <f>SUM(Q16:AE16)-(1065/1065*10398.2+1066/1066*(5810.2*0+1627)+1067/1067*((2616.9+492)*0+8/8*13292.44)+10651067/10651067*7/7*1440+1068/1068*8/8*137154.8)*0</f>
        <v>189643.56</v>
      </c>
      <c r="AH16" s="189">
        <f t="shared" si="0"/>
        <v>-189643.56</v>
      </c>
    </row>
    <row r="17" spans="1:34" ht="12.75">
      <c r="A17" s="181" t="s">
        <v>1392</v>
      </c>
      <c r="C17" s="182"/>
      <c r="D17" s="190"/>
      <c r="E17" s="182"/>
      <c r="F17" s="182"/>
      <c r="G17" s="182"/>
      <c r="H17" s="182"/>
      <c r="I17" s="182"/>
      <c r="J17" s="182"/>
      <c r="K17" s="182"/>
      <c r="L17" s="202">
        <f t="shared" si="1"/>
        <v>0</v>
      </c>
      <c r="M17" s="186"/>
      <c r="N17" s="186"/>
      <c r="O17" s="187"/>
      <c r="P17" s="187"/>
      <c r="Q17" s="190">
        <f>6/6*1069/1069*181+10/10*1070/1070*7454</f>
        <v>7635</v>
      </c>
      <c r="R17" s="190"/>
      <c r="S17" s="183">
        <f>8/8*1071/1071*543+10/10*10701600/10701600*595+12/12*(1108-595)</f>
        <v>1651</v>
      </c>
      <c r="T17" s="190"/>
      <c r="U17" s="190">
        <f>4/4*1070/1070*(684*0+6/6*2726.31*0+8/8*3364.71*0+9/9*151793.85*0+12/12*256680.45)+8/8*(1069/1069*(362.52*0+12/12*3223.92)+1071/1071*12/12*5209.64+10701071/10701071*638.4)</f>
        <v>265752.41000000003</v>
      </c>
      <c r="V17" s="190"/>
      <c r="W17" s="190">
        <f>1069/1069*(762*0+7/7*1962)+1070/1070*(762*0+7/7*1962)+1071/1071*(762*0+1962)</f>
        <v>5886</v>
      </c>
      <c r="X17" s="199"/>
      <c r="Y17" s="199"/>
      <c r="Z17" s="199"/>
      <c r="AA17" s="199"/>
      <c r="AF17" s="198">
        <f>1069/1069*(2505.52*0+12/12*5366.92)+1070/1070*(153755.85*0+10/10*161209.85*0+12/12*266096.45)+1071/1071*(2505*0+12/12*7714.64)+10701071/10701071*638.4+10/10*10701600/10701600*(595+12/12*(1108-595))-AG17</f>
        <v>0</v>
      </c>
      <c r="AG17" s="200">
        <f>SUM(Q17:AE17)-(1069/1069*(2734.6*0+2505.52)+1070/1070*8/8*5326.71+1071/1071*(9891.3*0+8/8*2505)+10701071/10701071*638.4)*0</f>
        <v>280924.41000000003</v>
      </c>
      <c r="AH17" s="189">
        <f t="shared" si="0"/>
        <v>-280924.41000000003</v>
      </c>
    </row>
    <row r="18" spans="1:34" ht="12.75">
      <c r="A18" s="181" t="s">
        <v>1393</v>
      </c>
      <c r="C18" s="182"/>
      <c r="D18" s="190"/>
      <c r="E18" s="182"/>
      <c r="F18" s="182"/>
      <c r="G18" s="182"/>
      <c r="H18" s="182"/>
      <c r="I18" s="182">
        <f>8/8*1074/1074*200000</f>
        <v>200000</v>
      </c>
      <c r="J18" s="182"/>
      <c r="K18" s="182"/>
      <c r="L18" s="202">
        <f t="shared" si="1"/>
        <v>200000</v>
      </c>
      <c r="M18" s="186"/>
      <c r="N18" s="186"/>
      <c r="O18" s="187"/>
      <c r="P18" s="187"/>
      <c r="Q18" s="190">
        <f>1074/1074*36.48</f>
        <v>36.48</v>
      </c>
      <c r="R18" s="190"/>
      <c r="S18" s="190">
        <f>10741600/10741600*7/7*330*0+12/12*1074+8/8*10741075/10741075*4490</f>
        <v>5564</v>
      </c>
      <c r="T18" s="190"/>
      <c r="U18" s="190">
        <f>1074/1074*(319.2*0+7/7*21931.86*0+8/8*76797.21*0+9/9*158392.21*0+12/12*167902.41)+1075/1075*(2223*0+4/4*9584*0+6/6*10222.4*0+8/8*13300.4*0+12/12*22634.46)</f>
        <v>190536.87</v>
      </c>
      <c r="V18" s="190"/>
      <c r="W18" s="190">
        <f>1074/1074*(1164*0+7/7*2364*0+8/8*8703.67)+1075/1075*(1140*0+7/7*2340*0+8/8*6660)</f>
        <v>15363.67</v>
      </c>
      <c r="X18" s="199"/>
      <c r="Y18" s="199"/>
      <c r="Z18" s="199"/>
      <c r="AA18" s="199"/>
      <c r="AF18" s="198">
        <f>1074/1074*167132.36*0+12/12*176642.56+1075/1075*(19960.4*0+12/12*29294.46)+10741075/10741075*4490+10741600/10741600*(330*0+12/12*1074)-AG18</f>
        <v>0</v>
      </c>
      <c r="AG18" s="200">
        <f>SUM(Q18:AE18)-(1074/1074*(4546.3*0+8/8*85537.36)+1075/1075*(23693*0+8/8*19960.4)+10741075/10741075*4490+10741600/10741600*330+10751600/10751600*2201*0)*0</f>
        <v>211501.02000000002</v>
      </c>
      <c r="AH18" s="189">
        <f t="shared" si="0"/>
        <v>-11501.020000000019</v>
      </c>
    </row>
    <row r="19" spans="1:34" ht="12.75">
      <c r="A19" s="181" t="s">
        <v>1394</v>
      </c>
      <c r="C19" s="182"/>
      <c r="D19" s="190"/>
      <c r="E19" s="182"/>
      <c r="F19" s="182"/>
      <c r="G19" s="182"/>
      <c r="H19" s="182"/>
      <c r="I19" s="182">
        <f>649/649*5/5*10781600/10781600*213+9/9*1078/1078*3217</f>
        <v>3430</v>
      </c>
      <c r="J19" s="182"/>
      <c r="K19" s="182"/>
      <c r="L19" s="202">
        <f t="shared" si="1"/>
        <v>3430</v>
      </c>
      <c r="M19" s="186"/>
      <c r="N19" s="186"/>
      <c r="O19" s="187"/>
      <c r="P19" s="187"/>
      <c r="Q19" s="190">
        <f>10781079/10781079*374</f>
        <v>374</v>
      </c>
      <c r="R19" s="190"/>
      <c r="S19" s="190">
        <f>4/4*10781600/10781600*213+8/8*(1078/1078*300+10781079/10781079*3217)</f>
        <v>3730</v>
      </c>
      <c r="T19" s="190"/>
      <c r="U19" s="190">
        <f>1078/1078*((623.58+319.2)*0+4/4*2971.78*0+10/10*10780.78*0+12/12*15262.78)+1079/1079*(((386.46+638.4)*0+4/4*3031.86*0+6/6*4063.86*0+8/8*16917.36*0+12/12*239298.36))</f>
        <v>254561.13999999998</v>
      </c>
      <c r="V19" s="190"/>
      <c r="W19" s="190">
        <f>1078/1078*(1734*0+7/7*2934)+1079/1079*(1734*0+7/7*2934)+10781079/10781079*1008</f>
        <v>6876</v>
      </c>
      <c r="X19" s="199"/>
      <c r="Y19" s="199"/>
      <c r="Z19" s="199"/>
      <c r="AA19" s="199"/>
      <c r="AF19" s="198">
        <f>1078/1078*(6205.78*0+10/10*14014.78*0+12/12*18496.78)+1079/1079*(19851.36*0+12/12*242232.36)+10781079/10781079*4599+10781600/10781600*213-AG19</f>
        <v>0</v>
      </c>
      <c r="AG19" s="200">
        <f>SUM(Q19:AE19)-(1078/1078*(153*0+8/8*6205.78)+1079/1079*(15708.5*0+8/8*19851.36)+10781079/10781079*(8549*0+4599)+10781600/10781600*213)*0</f>
        <v>265541.14</v>
      </c>
      <c r="AH19" s="189">
        <f t="shared" si="0"/>
        <v>-262111.14</v>
      </c>
    </row>
    <row r="20" spans="1:34" ht="12.75">
      <c r="A20" s="204" t="s">
        <v>1395</v>
      </c>
      <c r="C20" s="182"/>
      <c r="D20" s="190"/>
      <c r="E20" s="182"/>
      <c r="F20" s="182"/>
      <c r="G20" s="182"/>
      <c r="H20" s="182"/>
      <c r="I20" s="182"/>
      <c r="J20" s="182"/>
      <c r="K20" s="182"/>
      <c r="L20" s="202">
        <f t="shared" si="1"/>
        <v>0</v>
      </c>
      <c r="M20" s="186"/>
      <c r="N20" s="186"/>
      <c r="O20" s="187"/>
      <c r="P20" s="187"/>
      <c r="Q20" s="190">
        <f>1080/1080*36.48+10801082/10801082*199</f>
        <v>235.48</v>
      </c>
      <c r="R20" s="190"/>
      <c r="S20" s="190">
        <f>10801600/10801600*(3764*0+12/12*4364)+10821600/10821600*3810+1081/1081*-617+1082/1082*-3765</f>
        <v>3792</v>
      </c>
      <c r="T20" s="190"/>
      <c r="U20" s="190">
        <f>1080/1080*(638.4*0+1847.94*0+12/12*215423.5)+1081/1081*(7516*0+12/12*9157.63)+1082/1082*(169994.5*0+4/4*175587.5*0+8/8*178499.06*0+12/12*179297.06)</f>
        <v>403878.19</v>
      </c>
      <c r="V20" s="190"/>
      <c r="W20" s="190">
        <f>1080/1080*(984*0+7/7*2184)+1081/1081*(984*0+7/7*2184)+1082/1082*(3744*0+7/7*4944)</f>
        <v>9312</v>
      </c>
      <c r="X20" s="199"/>
      <c r="Y20" s="199"/>
      <c r="Z20" s="199"/>
      <c r="AA20" s="199"/>
      <c r="AF20" s="198">
        <f>1080/1080*(4068.42*0+12/12*217643.98)+1081/1081*(9083*0+10724.63)+1082/1082*(179678.06*0+12/12*180476.06)+10801082/10801082*199+10801600/10801600*(3764*0+12/12*4364)+10821600/10821600*3810-AG20</f>
        <v>0</v>
      </c>
      <c r="AG20" s="200">
        <f>SUM(Q20:AE20)-(1080/1080*(8075.1*0+8/8*4068.42)+1081/1081*(8863*0+8/8*9083)+1082/1082*(3397*0+8/8*179678.06)+10801082/10801082*199+10801600/10801600*3764+10821600/10821600*3810)*0</f>
        <v>417217.67</v>
      </c>
      <c r="AH20" s="189">
        <f t="shared" si="0"/>
        <v>-417217.67</v>
      </c>
    </row>
    <row r="21" spans="1:34" ht="12.75">
      <c r="A21" s="181" t="s">
        <v>1396</v>
      </c>
      <c r="C21" s="182"/>
      <c r="D21" s="190"/>
      <c r="E21" s="182"/>
      <c r="F21" s="182"/>
      <c r="G21" s="182"/>
      <c r="H21" s="182"/>
      <c r="I21" s="182">
        <f>8/8*1100/1100*20698*0+9/9*328650*0+10/10*307952</f>
        <v>307952</v>
      </c>
      <c r="J21" s="182"/>
      <c r="K21" s="182"/>
      <c r="L21" s="202">
        <f t="shared" si="1"/>
        <v>307952</v>
      </c>
      <c r="M21" s="186"/>
      <c r="N21" s="186"/>
      <c r="O21" s="205">
        <f>123/123*((17062/2+39809))+456/456*((10864/2+25348+1420/2))-X21</f>
        <v>34104</v>
      </c>
      <c r="P21" s="205">
        <f>123/123*(((1534/2+3584))+((4264/2+9952)))+456/456*(((978/2+2282+128/2))+((2714/2+6338+357/2-0.5)))-Y21</f>
        <v>10017</v>
      </c>
      <c r="Q21" s="190">
        <f>2811.5*0+4/4*9141.5*0+5/5*18389.9*0+12/12*25004.3</f>
        <v>25004.3</v>
      </c>
      <c r="R21" s="190"/>
      <c r="S21" s="190">
        <f>11001600/11001600*7/7*193*0+8/8*364412</f>
        <v>364412</v>
      </c>
      <c r="T21" s="190"/>
      <c r="U21" s="190">
        <f>4/4*1872*0+6/6*33181.4*0+7/7*42848.6*0+8/8*248755.6*0+10/10*255273.64*0+12/12*415639.44</f>
        <v>415639.44</v>
      </c>
      <c r="V21" s="190"/>
      <c r="W21" s="190">
        <f>11382*0+5/5*12629.21*0+6/6*13223.21*0+7/7*22961.21*0+8/8*230663.21*0+9/9*261257.21*0+10/10*291851.21*0+12/12*415505.21</f>
        <v>415505.21</v>
      </c>
      <c r="X21" s="199">
        <f>5/5*6266*0+10/10*28551*0+12/12*45726</f>
        <v>45726</v>
      </c>
      <c r="Y21" s="199">
        <f>5/5*2131*0+10/10*9711*0+12/12*17126</f>
        <v>17126</v>
      </c>
      <c r="Z21" s="199"/>
      <c r="AA21" s="199"/>
      <c r="AF21" s="10"/>
      <c r="AG21" s="200">
        <f>SUM(Q21:AF21)</f>
        <v>1283412.95</v>
      </c>
      <c r="AH21" s="189">
        <f t="shared" si="0"/>
        <v>-975460.95</v>
      </c>
    </row>
    <row r="22" spans="1:34" ht="12.75" customHeight="1">
      <c r="A22" s="181" t="s">
        <v>1397</v>
      </c>
      <c r="C22" s="182"/>
      <c r="D22" s="190"/>
      <c r="E22" s="182"/>
      <c r="F22" s="182"/>
      <c r="G22" s="182"/>
      <c r="H22" s="182"/>
      <c r="I22" s="182"/>
      <c r="J22" s="182"/>
      <c r="K22" s="182"/>
      <c r="L22" s="202">
        <f t="shared" si="1"/>
        <v>0</v>
      </c>
      <c r="M22" s="186"/>
      <c r="N22" s="186"/>
      <c r="O22" s="205"/>
      <c r="P22" s="205"/>
      <c r="Q22" s="190"/>
      <c r="R22" s="190"/>
      <c r="S22" s="190"/>
      <c r="T22" s="190"/>
      <c r="U22" s="190">
        <f>224325</f>
        <v>224325</v>
      </c>
      <c r="V22" s="190"/>
      <c r="W22" s="190"/>
      <c r="X22" s="199"/>
      <c r="Y22" s="199"/>
      <c r="Z22" s="199"/>
      <c r="AA22" s="199"/>
      <c r="AF22" s="10"/>
      <c r="AG22" s="200">
        <f>SUM(Q22:AF22)</f>
        <v>224325</v>
      </c>
      <c r="AH22" s="189">
        <f>L22-AG22</f>
        <v>-224325</v>
      </c>
    </row>
    <row r="23" spans="1:34" ht="12.75">
      <c r="A23" s="197" t="s">
        <v>1398</v>
      </c>
      <c r="C23" s="182"/>
      <c r="D23" s="190"/>
      <c r="E23" s="182"/>
      <c r="F23" s="182"/>
      <c r="G23" s="182"/>
      <c r="H23" s="182"/>
      <c r="I23" s="182"/>
      <c r="J23" s="182"/>
      <c r="K23" s="182"/>
      <c r="L23" s="202">
        <f t="shared" si="1"/>
        <v>0</v>
      </c>
      <c r="M23" s="186"/>
      <c r="N23" s="186"/>
      <c r="O23" s="187"/>
      <c r="P23" s="187"/>
      <c r="Q23" s="190">
        <f>102/102*1117.2</f>
        <v>1117.2</v>
      </c>
      <c r="R23" s="190"/>
      <c r="S23" s="190">
        <f>1021600/1021600*7/7*4483</f>
        <v>4483</v>
      </c>
      <c r="T23" s="190"/>
      <c r="U23" s="190">
        <f>102/102*10664.2+1112/1112*7956</f>
        <v>18620.2</v>
      </c>
      <c r="V23" s="190"/>
      <c r="W23" s="190"/>
      <c r="X23" s="199"/>
      <c r="Y23" s="199"/>
      <c r="Z23" s="199"/>
      <c r="AA23" s="199"/>
      <c r="AF23" s="198">
        <f>102/102*11781.4+1021600/1021600*4483+1112/1112*7956-AG23</f>
        <v>0</v>
      </c>
      <c r="AG23" s="202">
        <f>SUM(Q23:AE23)-8/8*(11781.4+1021600/1021600*4483)*0</f>
        <v>24220.4</v>
      </c>
      <c r="AH23" s="189">
        <f t="shared" si="0"/>
        <v>-24220.4</v>
      </c>
    </row>
    <row r="24" spans="1:34" ht="12.75">
      <c r="A24" s="197" t="s">
        <v>1399</v>
      </c>
      <c r="C24" s="182"/>
      <c r="D24" s="190"/>
      <c r="E24" s="182"/>
      <c r="F24" s="182"/>
      <c r="G24" s="182"/>
      <c r="H24" s="182"/>
      <c r="I24" s="182">
        <f>9/9*115234</f>
        <v>115234</v>
      </c>
      <c r="J24" s="182"/>
      <c r="K24" s="182"/>
      <c r="L24" s="202">
        <f t="shared" si="1"/>
        <v>115234</v>
      </c>
      <c r="M24" s="186"/>
      <c r="N24" s="186"/>
      <c r="O24" s="187"/>
      <c r="P24" s="187"/>
      <c r="Q24" s="190"/>
      <c r="R24" s="190"/>
      <c r="S24" s="199">
        <f>8/8*1368/1368*115234</f>
        <v>115234</v>
      </c>
      <c r="T24" s="199"/>
      <c r="U24" s="199">
        <f>6/6*(1251/1251*(3360*0+8/8*5400*0+12/12*6509.2)+1368/1368*13334.4)</f>
        <v>19843.6</v>
      </c>
      <c r="V24" s="199"/>
      <c r="W24" s="199">
        <f>1251/1251*8/8*4920</f>
        <v>4920</v>
      </c>
      <c r="X24" s="199"/>
      <c r="Y24" s="199"/>
      <c r="Z24" s="199"/>
      <c r="AA24" s="199"/>
      <c r="AF24" s="198">
        <f>1251/1251*10320*0+12/12*11429.2+1368/1368*128568.4-AG24</f>
        <v>0</v>
      </c>
      <c r="AG24" s="202">
        <f>SUM(Q24:AE24)-(1251/1251*(3133*0+8/8*10320)+(1367/1367*0+1368/1368)*(941.6*0+8/8*128568.4))*0</f>
        <v>139997.6</v>
      </c>
      <c r="AH24" s="189">
        <f t="shared" si="0"/>
        <v>-24763.600000000006</v>
      </c>
    </row>
    <row r="25" spans="1:34" ht="12.75" hidden="1">
      <c r="A25" s="181" t="s">
        <v>1400</v>
      </c>
      <c r="C25" s="182"/>
      <c r="D25" s="190"/>
      <c r="E25" s="182"/>
      <c r="F25" s="182"/>
      <c r="G25" s="182"/>
      <c r="H25" s="182"/>
      <c r="I25" s="182"/>
      <c r="J25" s="182"/>
      <c r="K25" s="182"/>
      <c r="L25" s="202">
        <f t="shared" si="1"/>
        <v>0</v>
      </c>
      <c r="M25" s="186"/>
      <c r="N25" s="186"/>
      <c r="O25" s="187"/>
      <c r="P25" s="187"/>
      <c r="Q25" s="190"/>
      <c r="R25" s="190"/>
      <c r="S25" s="199"/>
      <c r="T25" s="199"/>
      <c r="U25" s="199"/>
      <c r="V25" s="199"/>
      <c r="W25" s="199"/>
      <c r="X25" s="199"/>
      <c r="Y25" s="199"/>
      <c r="Z25" s="199"/>
      <c r="AA25" s="199"/>
      <c r="AG25" s="191">
        <f>SUM(Q25:AF25)</f>
        <v>0</v>
      </c>
      <c r="AH25" s="189">
        <f t="shared" si="0"/>
        <v>0</v>
      </c>
    </row>
    <row r="26" spans="1:34" ht="12.75" hidden="1">
      <c r="A26" s="181" t="s">
        <v>1401</v>
      </c>
      <c r="C26" s="182"/>
      <c r="D26" s="190"/>
      <c r="E26" s="182"/>
      <c r="F26" s="182"/>
      <c r="G26" s="182"/>
      <c r="H26" s="182"/>
      <c r="I26" s="182"/>
      <c r="J26" s="182"/>
      <c r="K26" s="182"/>
      <c r="L26" s="202">
        <f t="shared" si="1"/>
        <v>0</v>
      </c>
      <c r="M26" s="186"/>
      <c r="N26" s="186"/>
      <c r="O26" s="187"/>
      <c r="P26" s="187"/>
      <c r="Q26" s="190"/>
      <c r="R26" s="190"/>
      <c r="S26" s="199"/>
      <c r="T26" s="199"/>
      <c r="U26" s="199"/>
      <c r="V26" s="199"/>
      <c r="W26" s="199"/>
      <c r="X26" s="199"/>
      <c r="Y26" s="199"/>
      <c r="Z26" s="199"/>
      <c r="AA26" s="199"/>
      <c r="AG26" s="191">
        <f>SUM(Q26:AF26)</f>
        <v>0</v>
      </c>
      <c r="AH26" s="189">
        <f t="shared" si="0"/>
        <v>0</v>
      </c>
    </row>
    <row r="27" spans="1:34" ht="12.75" hidden="1">
      <c r="A27" s="181" t="s">
        <v>1402</v>
      </c>
      <c r="C27" s="182"/>
      <c r="D27" s="190"/>
      <c r="E27" s="182"/>
      <c r="F27" s="182"/>
      <c r="G27" s="182"/>
      <c r="H27" s="182"/>
      <c r="I27" s="182"/>
      <c r="J27" s="182"/>
      <c r="K27" s="182"/>
      <c r="L27" s="202">
        <f t="shared" si="1"/>
        <v>0</v>
      </c>
      <c r="M27" s="186"/>
      <c r="N27" s="186"/>
      <c r="O27" s="187"/>
      <c r="P27" s="187"/>
      <c r="Q27" s="190"/>
      <c r="R27" s="190"/>
      <c r="S27" s="199"/>
      <c r="T27" s="199"/>
      <c r="U27" s="199"/>
      <c r="V27" s="199"/>
      <c r="W27" s="199"/>
      <c r="X27" s="199"/>
      <c r="Y27" s="199"/>
      <c r="Z27" s="199"/>
      <c r="AA27" s="199"/>
      <c r="AG27" s="191">
        <f>SUM(Q27:AF27)</f>
        <v>0</v>
      </c>
      <c r="AH27" s="189">
        <f t="shared" si="0"/>
        <v>0</v>
      </c>
    </row>
    <row r="28" spans="1:34" ht="12.75">
      <c r="A28" s="181" t="s">
        <v>1403</v>
      </c>
      <c r="C28" s="182"/>
      <c r="D28" s="183">
        <f>9/9*2044</f>
        <v>2044</v>
      </c>
      <c r="E28" s="182"/>
      <c r="F28" s="182"/>
      <c r="G28" s="182"/>
      <c r="H28" s="182"/>
      <c r="I28" s="182"/>
      <c r="J28" s="182"/>
      <c r="K28" s="182"/>
      <c r="L28" s="202">
        <f t="shared" si="1"/>
        <v>2044</v>
      </c>
      <c r="M28" s="186"/>
      <c r="N28" s="186"/>
      <c r="O28" s="187"/>
      <c r="P28" s="187"/>
      <c r="Q28" s="190">
        <f>6007.8</f>
        <v>6007.8</v>
      </c>
      <c r="R28" s="190"/>
      <c r="S28" s="199">
        <f>15171600/15171600*(7/7*591*0+12/12*1217)+1517/1517*8/8*23072</f>
        <v>24289</v>
      </c>
      <c r="T28" s="199"/>
      <c r="U28" s="199">
        <f>(2922.96+12286.92)*0+4/4*23499.88*0+6/6*25042.3*0+8/8*40533.16*0+9/9*59180.03*0+10/10*61885.91*0+12/12*77025.11</f>
        <v>77025.11</v>
      </c>
      <c r="V28" s="199"/>
      <c r="W28" s="199">
        <f>15171522/15171522*(1000*0+4/4*10978/2)+45201517/45201517*(9860.73*0+10/10*9963.27*0+12/12*9986.07)-W29</f>
        <v>5489.07</v>
      </c>
      <c r="X28" s="199"/>
      <c r="Y28" s="199"/>
      <c r="Z28" s="199"/>
      <c r="AA28" s="199"/>
      <c r="AF28" s="198">
        <f>1517/1517*(88259.83*0+10/10*90965.71*0+12/12*106104.91)+15171522/15171522*10978/2+15171600/15171600*(591*0+12/12*1217)+45201517/45201517*(9860.73*0+9986.07)-AG28-AG29</f>
        <v>0</v>
      </c>
      <c r="AG28" s="202">
        <f>SUM(Q28:AE28)-(15171600/15171600*(204/2*2*0+8/8*591)+1517/1517*(72402.9*0+8/8*69612.96)+15171522/15171522*(88367/2*0+8/8*10978/2))*0</f>
        <v>112810.98000000001</v>
      </c>
      <c r="AH28" s="189">
        <f t="shared" si="0"/>
        <v>-110766.98000000001</v>
      </c>
    </row>
    <row r="29" spans="1:34" ht="12.75">
      <c r="A29" s="206" t="s">
        <v>1404</v>
      </c>
      <c r="C29" s="182"/>
      <c r="D29" s="183">
        <f>22583.33*0+4/4*29916.66*0+5/5*37249.99*0+6/6*44583.32*0+7/7*51208.32*0+8/8*57833.32*0+9/9*64458.32*0+10/10*71083.32*0+12/12*83624.98</f>
        <v>83624.98</v>
      </c>
      <c r="E29" s="182"/>
      <c r="F29" s="182"/>
      <c r="G29" s="182"/>
      <c r="H29" s="182"/>
      <c r="I29" s="182"/>
      <c r="J29" s="182"/>
      <c r="K29" s="182"/>
      <c r="L29" s="202">
        <f>SUM(B29:K29)</f>
        <v>83624.98</v>
      </c>
      <c r="M29" s="186"/>
      <c r="N29" s="186"/>
      <c r="O29" s="187"/>
      <c r="P29" s="187"/>
      <c r="Q29" s="199"/>
      <c r="R29" s="199"/>
      <c r="S29" s="199"/>
      <c r="T29" s="199"/>
      <c r="U29" s="199"/>
      <c r="V29" s="199"/>
      <c r="W29" s="199">
        <f>45201517/45201517*(103.31*0+5/5*5659.11*0+6/6*8699.23*0+7/7*9828.14*0+8/8*9835.57*0+9/9*9860.73*0+10/10*9963.27*0+12/12*9986)</f>
        <v>9986</v>
      </c>
      <c r="X29" s="199"/>
      <c r="Y29" s="199"/>
      <c r="Z29" s="199"/>
      <c r="AA29" s="199"/>
      <c r="AG29" s="202">
        <f>SUM(Q29:AF29)</f>
        <v>9986</v>
      </c>
      <c r="AH29" s="189">
        <f t="shared" si="0"/>
        <v>73638.98</v>
      </c>
    </row>
    <row r="30" spans="1:34" ht="12" customHeight="1">
      <c r="A30" s="181" t="s">
        <v>1405</v>
      </c>
      <c r="C30" s="182"/>
      <c r="D30" s="190"/>
      <c r="E30" s="182"/>
      <c r="F30" s="182"/>
      <c r="G30" s="182"/>
      <c r="H30" s="182"/>
      <c r="I30" s="182">
        <f>8914</f>
        <v>8914</v>
      </c>
      <c r="J30" s="182"/>
      <c r="K30" s="182"/>
      <c r="L30" s="202">
        <f t="shared" si="1"/>
        <v>8914</v>
      </c>
      <c r="M30" s="186"/>
      <c r="N30" s="186"/>
      <c r="O30" s="187"/>
      <c r="P30" s="187"/>
      <c r="Q30" s="199">
        <f>2935.5</f>
        <v>2935.5</v>
      </c>
      <c r="R30" s="199"/>
      <c r="S30" s="199">
        <f>8/8*14357</f>
        <v>14357</v>
      </c>
      <c r="T30" s="199"/>
      <c r="U30" s="199">
        <f>(3579+8530.62+638.4)*0+8/8*18384.18*0+9/9*55658.18*0+10/10*65774.54*0+12/12*78422.44</f>
        <v>78422.44</v>
      </c>
      <c r="V30" s="199"/>
      <c r="W30" s="199">
        <f>12622*0+8/8*(16330+15171522/15171522*10978/2)</f>
        <v>21819</v>
      </c>
      <c r="X30" s="199">
        <f>5/5*6440*0+10/10*12880*0+12/12*19558</f>
        <v>19558</v>
      </c>
      <c r="Y30" s="199">
        <f>5/5*2190*0+10/10*4380*0+12/12*6650</f>
        <v>6650</v>
      </c>
      <c r="Z30" s="199"/>
      <c r="AA30" s="199"/>
      <c r="AF30" s="198">
        <f>1522/1522*97910.68*0+10/10*116657.04*0+12/12*138252.94+15171522/15171522*10978/2-AG30</f>
        <v>0</v>
      </c>
      <c r="AG30" s="202">
        <f>SUM(Q30:AE30)-(1522/1522*(205799.1*0+8/8*60636.68)+15171522/15171522*(88367/2*0+8/8*10978/2))*0</f>
        <v>143741.94</v>
      </c>
      <c r="AH30" s="189">
        <f t="shared" si="0"/>
        <v>-134827.94</v>
      </c>
    </row>
    <row r="31" spans="1:34" ht="12.75">
      <c r="A31" s="181" t="s">
        <v>1406</v>
      </c>
      <c r="C31" s="182"/>
      <c r="D31" s="183">
        <f>22500+4/4*8000+5/5*8000+6/6*8000+7/7*8000+8/8*8000+9/9*8000+10/10*8000+12/12*2*8000+500</f>
        <v>95000</v>
      </c>
      <c r="E31" s="182"/>
      <c r="F31" s="182"/>
      <c r="G31" s="182"/>
      <c r="H31" s="182"/>
      <c r="I31" s="182"/>
      <c r="J31" s="182"/>
      <c r="K31" s="182"/>
      <c r="L31" s="202">
        <f>SUM(B31:K31)</f>
        <v>95000</v>
      </c>
      <c r="M31" s="186"/>
      <c r="N31" s="186"/>
      <c r="O31" s="205">
        <f>123/123*(84147+60979+4500+61333+(17062/2+39809)*0)+456/456*(84456+61139+4500+59227+(10864/2+25348)*0)-X31</f>
        <v>-444489</v>
      </c>
      <c r="P31" s="205">
        <f>123/123*((7578+5494+0+5524+(1534/2+3584)*0)+(21033+15242+0+15333+(4264/2+9952)*0))+456/456*((7602+5506+0+5332+(978/2+2282)*0)+(21105+15282+0+14806+(2714/2+6338)*0))-Y31</f>
        <v>-144880</v>
      </c>
      <c r="Q31" s="199"/>
      <c r="R31" s="199"/>
      <c r="S31" s="199">
        <f>8/8*84026.63*0+12/12*70816.63</f>
        <v>70816.63</v>
      </c>
      <c r="T31" s="199"/>
      <c r="U31" s="199">
        <f>4/4*578796*0+5/5*580150.94*0+6/6*583372.22*0+8/8*584884.22*0+12/12*595608.22</f>
        <v>595608.22</v>
      </c>
      <c r="V31" s="199"/>
      <c r="W31" s="199">
        <f>2660*0+4/4*4065.83*0+6/6*6775.71*0+8/8*8418.65*0+9/9*15509.59*0+10/10*16864.53*0+12/12*20929.35</f>
        <v>20929.35</v>
      </c>
      <c r="X31" s="199">
        <f>5/5*283343*0+10/10*572892*0+12/12*864770</f>
        <v>864770</v>
      </c>
      <c r="Y31" s="199">
        <f>5/5*93283*0+10/10*188677*0+12/12*284717</f>
        <v>284717</v>
      </c>
      <c r="Z31" s="199"/>
      <c r="AA31" s="199"/>
      <c r="AG31" s="202">
        <f>SUM(Q31:AF31)-(15171600/15171600*204/2*0+1600/1600*(311039*0+8/8*1053955.5))*0</f>
        <v>1836841.2</v>
      </c>
      <c r="AH31" s="189">
        <f t="shared" si="0"/>
        <v>-1741841.2</v>
      </c>
    </row>
    <row r="32" spans="1:34" ht="12.75" customHeight="1" hidden="1">
      <c r="A32" s="181" t="s">
        <v>1407</v>
      </c>
      <c r="C32" s="182"/>
      <c r="D32" s="190"/>
      <c r="E32" s="182"/>
      <c r="F32" s="182"/>
      <c r="G32" s="182"/>
      <c r="H32" s="182"/>
      <c r="I32" s="182"/>
      <c r="J32" s="182"/>
      <c r="K32" s="182"/>
      <c r="L32" s="191">
        <f t="shared" si="1"/>
        <v>0</v>
      </c>
      <c r="M32" s="186"/>
      <c r="N32" s="186"/>
      <c r="O32" s="187"/>
      <c r="P32" s="187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G32" s="191">
        <f aca="true" t="shared" si="3" ref="AG32:AG46">SUM(Q32:AF32)</f>
        <v>0</v>
      </c>
      <c r="AH32" s="189">
        <f t="shared" si="0"/>
        <v>0</v>
      </c>
    </row>
    <row r="33" spans="1:34" ht="12.75" customHeight="1" hidden="1">
      <c r="A33" s="181" t="s">
        <v>1408</v>
      </c>
      <c r="C33" s="182"/>
      <c r="D33" s="190"/>
      <c r="E33" s="182"/>
      <c r="F33" s="182"/>
      <c r="G33" s="182"/>
      <c r="H33" s="182"/>
      <c r="I33" s="182"/>
      <c r="J33" s="182"/>
      <c r="K33" s="182"/>
      <c r="L33" s="191">
        <f t="shared" si="1"/>
        <v>0</v>
      </c>
      <c r="M33" s="186"/>
      <c r="N33" s="186"/>
      <c r="O33" s="187"/>
      <c r="P33" s="187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G33" s="191">
        <f t="shared" si="3"/>
        <v>0</v>
      </c>
      <c r="AH33" s="189">
        <f t="shared" si="0"/>
        <v>0</v>
      </c>
    </row>
    <row r="34" spans="1:34" ht="12.75" customHeight="1" hidden="1">
      <c r="A34" s="181" t="s">
        <v>1409</v>
      </c>
      <c r="C34" s="182"/>
      <c r="D34" s="190"/>
      <c r="E34" s="182"/>
      <c r="F34" s="182"/>
      <c r="G34" s="182"/>
      <c r="H34" s="182"/>
      <c r="I34" s="182"/>
      <c r="J34" s="182"/>
      <c r="K34" s="182"/>
      <c r="L34" s="191">
        <f t="shared" si="1"/>
        <v>0</v>
      </c>
      <c r="M34" s="186"/>
      <c r="N34" s="186"/>
      <c r="O34" s="187"/>
      <c r="P34" s="187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G34" s="191">
        <f t="shared" si="3"/>
        <v>0</v>
      </c>
      <c r="AH34" s="189">
        <f t="shared" si="0"/>
        <v>0</v>
      </c>
    </row>
    <row r="35" spans="1:34" ht="12.75" customHeight="1" hidden="1">
      <c r="A35" s="207" t="s">
        <v>1410</v>
      </c>
      <c r="C35" s="182"/>
      <c r="D35" s="190"/>
      <c r="E35" s="182"/>
      <c r="F35" s="182"/>
      <c r="G35" s="182"/>
      <c r="H35" s="182"/>
      <c r="I35" s="182"/>
      <c r="J35" s="182"/>
      <c r="K35" s="182"/>
      <c r="L35" s="191">
        <f t="shared" si="1"/>
        <v>0</v>
      </c>
      <c r="M35" s="186"/>
      <c r="N35" s="186"/>
      <c r="O35" s="187"/>
      <c r="P35" s="187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G35" s="191">
        <f t="shared" si="3"/>
        <v>0</v>
      </c>
      <c r="AH35" s="189">
        <f t="shared" si="0"/>
        <v>0</v>
      </c>
    </row>
    <row r="36" spans="1:34" ht="12.75" customHeight="1" hidden="1">
      <c r="A36" s="207" t="s">
        <v>1411</v>
      </c>
      <c r="C36" s="182"/>
      <c r="D36" s="190"/>
      <c r="E36" s="182"/>
      <c r="F36" s="182"/>
      <c r="G36" s="182"/>
      <c r="H36" s="182"/>
      <c r="I36" s="182"/>
      <c r="J36" s="182"/>
      <c r="K36" s="182"/>
      <c r="L36" s="191">
        <f>SUM(B36:K36)</f>
        <v>0</v>
      </c>
      <c r="M36" s="186"/>
      <c r="N36" s="186"/>
      <c r="O36" s="187"/>
      <c r="P36" s="187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G36" s="191">
        <f t="shared" si="3"/>
        <v>0</v>
      </c>
      <c r="AH36" s="189">
        <f t="shared" si="0"/>
        <v>0</v>
      </c>
    </row>
    <row r="37" spans="1:34" ht="12.75" customHeight="1">
      <c r="A37" s="207" t="s">
        <v>1412</v>
      </c>
      <c r="C37" s="182"/>
      <c r="D37" s="190"/>
      <c r="E37" s="182"/>
      <c r="F37" s="182"/>
      <c r="G37" s="182"/>
      <c r="H37" s="182"/>
      <c r="I37" s="182"/>
      <c r="J37" s="182">
        <f>5/5*295000</f>
        <v>295000</v>
      </c>
      <c r="K37" s="182"/>
      <c r="L37" s="208">
        <f>SUM(B37:K37)</f>
        <v>295000</v>
      </c>
      <c r="M37" s="186"/>
      <c r="N37" s="186"/>
      <c r="O37" s="187"/>
      <c r="P37" s="187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>
        <f>9/9*8850</f>
        <v>8850</v>
      </c>
      <c r="AD37" s="188">
        <f>8/8*295000</f>
        <v>295000</v>
      </c>
      <c r="AE37" s="188">
        <f>554/554*5/5*98400</f>
        <v>98400</v>
      </c>
      <c r="AG37" s="208">
        <f>SUM(Q37:AF37)-(15171600/15171600*204/2+1600/1600*311039+10751600/10751600)*0</f>
        <v>402250</v>
      </c>
      <c r="AH37" s="189">
        <f>L37-AG37</f>
        <v>-107250</v>
      </c>
    </row>
    <row r="38" spans="1:34" ht="12.75" customHeight="1">
      <c r="A38" s="207" t="s">
        <v>1413</v>
      </c>
      <c r="C38" s="182"/>
      <c r="D38" s="190"/>
      <c r="E38" s="182"/>
      <c r="F38" s="182"/>
      <c r="G38" s="182"/>
      <c r="H38" s="182"/>
      <c r="I38" s="182"/>
      <c r="J38" s="182">
        <f>5/5*37880*0*10/10</f>
        <v>0</v>
      </c>
      <c r="K38" s="182"/>
      <c r="L38" s="208">
        <f>SUM(B38:K38)</f>
        <v>0</v>
      </c>
      <c r="M38" s="186"/>
      <c r="N38" s="186"/>
      <c r="O38" s="187"/>
      <c r="P38" s="187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E38" s="188">
        <f>554/554*5/5*1320*0*10/10</f>
        <v>0</v>
      </c>
      <c r="AG38" s="208">
        <f>SUM(Q38:AF38)-(15171600/15171600*204/2+1600/1600*311039+10751600/10751600)*0</f>
        <v>0</v>
      </c>
      <c r="AH38" s="189">
        <f>L38-AG38</f>
        <v>0</v>
      </c>
    </row>
    <row r="39" spans="1:34" ht="12.75" customHeight="1">
      <c r="A39" s="207" t="s">
        <v>1414</v>
      </c>
      <c r="C39" s="182"/>
      <c r="D39" s="190"/>
      <c r="E39" s="182"/>
      <c r="F39" s="182"/>
      <c r="G39" s="182"/>
      <c r="H39" s="182"/>
      <c r="I39" s="182"/>
      <c r="J39" s="182">
        <f>6/6*10725</f>
        <v>10725</v>
      </c>
      <c r="K39" s="182"/>
      <c r="L39" s="208">
        <f>SUM(B39:K39)</f>
        <v>10725</v>
      </c>
      <c r="M39" s="186"/>
      <c r="N39" s="186"/>
      <c r="O39" s="187"/>
      <c r="P39" s="187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>
        <f>538/538*9/9*324</f>
        <v>324</v>
      </c>
      <c r="AE39" s="182">
        <f>6/6*10725*0+3400</f>
        <v>3400</v>
      </c>
      <c r="AG39" s="208">
        <f>SUM(Q39:AF39)-(15171600/15171600*204/2+1600/1600*311039+10751600/10751600)*0</f>
        <v>3724</v>
      </c>
      <c r="AH39" s="189">
        <f>L39-AG39</f>
        <v>7001</v>
      </c>
    </row>
    <row r="40" spans="1:34" ht="12.75" customHeight="1">
      <c r="A40" s="207" t="s">
        <v>1415</v>
      </c>
      <c r="C40" s="182"/>
      <c r="D40" s="190"/>
      <c r="E40" s="182"/>
      <c r="F40" s="182"/>
      <c r="G40" s="182"/>
      <c r="H40" s="182"/>
      <c r="I40" s="182"/>
      <c r="J40" s="182">
        <f>7/7*135516</f>
        <v>135516</v>
      </c>
      <c r="K40" s="182"/>
      <c r="L40" s="208">
        <f>SUM(B40:K40)</f>
        <v>135516</v>
      </c>
      <c r="M40" s="186"/>
      <c r="N40" s="186"/>
      <c r="O40" s="187"/>
      <c r="P40" s="187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E40" s="182">
        <f>8/8*1473</f>
        <v>1473</v>
      </c>
      <c r="AG40" s="208">
        <f>SUM(Q40:AF40)-(15171600/15171600*204/2+1600/1600*311039+10751600/10751600)*0</f>
        <v>1473</v>
      </c>
      <c r="AH40" s="189">
        <f>L40-AG40</f>
        <v>134043</v>
      </c>
    </row>
    <row r="41" spans="1:34" ht="12.75" customHeight="1">
      <c r="A41" s="207" t="s">
        <v>1416</v>
      </c>
      <c r="C41" s="182"/>
      <c r="D41" s="190"/>
      <c r="E41" s="182"/>
      <c r="F41" s="182"/>
      <c r="G41" s="182"/>
      <c r="H41" s="182"/>
      <c r="I41" s="182"/>
      <c r="J41" s="182"/>
      <c r="K41" s="182"/>
      <c r="L41" s="208">
        <f t="shared" si="1"/>
        <v>0</v>
      </c>
      <c r="M41" s="186"/>
      <c r="N41" s="186"/>
      <c r="O41" s="187"/>
      <c r="P41" s="187"/>
      <c r="Q41" s="199"/>
      <c r="R41" s="199"/>
      <c r="S41" s="199"/>
      <c r="T41" s="199"/>
      <c r="U41" s="199">
        <f>5/5*22400</f>
        <v>22400</v>
      </c>
      <c r="V41" s="199"/>
      <c r="W41" s="199"/>
      <c r="X41" s="199"/>
      <c r="Y41" s="199"/>
      <c r="Z41" s="199"/>
      <c r="AA41" s="199"/>
      <c r="AG41" s="208">
        <f>SUM(Q41:AF41)-(15171600/15171600*204/2+1600/1600*311039+10751600/10751600)*0</f>
        <v>22400</v>
      </c>
      <c r="AH41" s="189">
        <f>L41-AG41</f>
        <v>-22400</v>
      </c>
    </row>
    <row r="42" spans="1:34" ht="12.75" customHeight="1">
      <c r="A42" s="181" t="s">
        <v>1268</v>
      </c>
      <c r="C42" s="183">
        <f>296243.86*0+4/4*376169.3*0+5/5*466666.67*0+6/6*585513.16*0+7/7*652911.41*0+8/8*702100.88*0+9/9*765067.55*0+10/10*890064.04*0+12/12*1128195.55</f>
        <v>1128195.55</v>
      </c>
      <c r="D42" s="183">
        <f>12/12*3958.33</f>
        <v>3958.33</v>
      </c>
      <c r="E42" s="182">
        <f>4/4*4342.11*0+6/6*6973.69*0+10/10*8885.97</f>
        <v>8885.97</v>
      </c>
      <c r="F42" s="182"/>
      <c r="G42" s="182"/>
      <c r="H42" s="182"/>
      <c r="I42" s="182">
        <f>4/4*832*0+7/7*1124*0+10/10*1434</f>
        <v>1434</v>
      </c>
      <c r="J42" s="182"/>
      <c r="K42" s="182"/>
      <c r="L42" s="195">
        <f t="shared" si="1"/>
        <v>1142473.85</v>
      </c>
      <c r="M42" s="209" t="s">
        <v>1417</v>
      </c>
      <c r="N42" s="210">
        <f>3480433*0+4/4*4639752*0+6/6*6945415*0+7/7*8089304*0+8/8*9234478*0+9/9*10381030*0+10/10*11648184*0+12/12*14190322</f>
        <v>14190322</v>
      </c>
      <c r="O42" s="187">
        <f>76069+75382-X42</f>
        <v>-407022</v>
      </c>
      <c r="P42" s="187">
        <f>25863+25631-Y42</f>
        <v>-101535</v>
      </c>
      <c r="Q42" s="199">
        <f>6130</f>
        <v>6130</v>
      </c>
      <c r="R42" s="199"/>
      <c r="S42" s="199"/>
      <c r="T42" s="199"/>
      <c r="U42" s="199"/>
      <c r="V42" s="199"/>
      <c r="W42" s="199">
        <f>137069.09*0+210724.71*0+5/5*234522.03*0+6/6*314697.46*0+7/7*373041.5*0+8/8*391962.28*0+9/9*448748.24*0+10/10*495612.14*0+12/12*670622.07</f>
        <v>670622.07</v>
      </c>
      <c r="X42" s="199">
        <f>5/5*165685*0+9/9*336466*0+12/12*558473</f>
        <v>558473</v>
      </c>
      <c r="Y42" s="199">
        <f>5/5*48510*0+9/9*99935*0+12/12*153029</f>
        <v>153029</v>
      </c>
      <c r="Z42" s="199"/>
      <c r="AA42" s="199"/>
      <c r="AD42" s="188">
        <f>549/549*(1.26*0+4/4*2.45*0+7/7*3.05)</f>
        <v>3.05</v>
      </c>
      <c r="AG42" s="195">
        <f t="shared" si="3"/>
        <v>1388257.1199999999</v>
      </c>
      <c r="AH42" s="189">
        <f t="shared" si="0"/>
        <v>-245783.2699999998</v>
      </c>
    </row>
    <row r="43" spans="1:34" ht="12.75">
      <c r="A43" s="181" t="s">
        <v>1418</v>
      </c>
      <c r="C43" s="183">
        <f>3274.57*0+4/4*4177.2*0+5/5*5192.99*0+8/8*5486.85*0+10/10*5694.74*0+12/12*7183.34</f>
        <v>7183.34</v>
      </c>
      <c r="D43" s="190"/>
      <c r="E43" s="182"/>
      <c r="F43" s="182"/>
      <c r="G43" s="182"/>
      <c r="H43" s="182"/>
      <c r="I43" s="182">
        <f>9/9*4100</f>
        <v>4100</v>
      </c>
      <c r="J43" s="182"/>
      <c r="K43" s="182"/>
      <c r="L43" s="195">
        <f t="shared" si="1"/>
        <v>11283.34</v>
      </c>
      <c r="M43" s="209" t="s">
        <v>1419</v>
      </c>
      <c r="N43" s="210">
        <f>677435*0+4/4*903240*0+6/6*1360982*0+7/7*1721979.62*0+8/8*1812592*0+9/9*2021754.92*0+10/10*2266246*0+12/12*2524675.07</f>
        <v>2524675.07</v>
      </c>
      <c r="O43" s="187"/>
      <c r="P43" s="187"/>
      <c r="Q43" s="199"/>
      <c r="R43" s="199"/>
      <c r="S43" s="199"/>
      <c r="T43" s="199"/>
      <c r="U43" s="199"/>
      <c r="V43" s="199"/>
      <c r="W43" s="199">
        <f>3156*0+4/4*3967.77*0+4467.77*0+6/6*5767.77*0+10/10*6489.58</f>
        <v>6489.58</v>
      </c>
      <c r="X43" s="199"/>
      <c r="Y43" s="199"/>
      <c r="Z43" s="199"/>
      <c r="AA43" s="199"/>
      <c r="AD43" s="188">
        <f>549/549*-0.2</f>
        <v>-0.2</v>
      </c>
      <c r="AG43" s="195">
        <f t="shared" si="3"/>
        <v>6489.38</v>
      </c>
      <c r="AH43" s="189">
        <f t="shared" si="0"/>
        <v>4793.96</v>
      </c>
    </row>
    <row r="44" spans="1:34" ht="12.75">
      <c r="A44" s="181" t="s">
        <v>1165</v>
      </c>
      <c r="C44" s="182"/>
      <c r="D44" s="190"/>
      <c r="E44" s="182">
        <f>1596.5*0+6/6*2771.95*0+9/9*3587.75*0+12/12*4438.63</f>
        <v>4438.63</v>
      </c>
      <c r="F44" s="182"/>
      <c r="G44" s="182"/>
      <c r="H44" s="182"/>
      <c r="I44" s="182"/>
      <c r="J44" s="182"/>
      <c r="K44" s="182"/>
      <c r="L44" s="195">
        <f>SUM(B44:K44)</f>
        <v>4438.63</v>
      </c>
      <c r="M44" s="209" t="s">
        <v>1420</v>
      </c>
      <c r="N44" s="10">
        <f>829093.83*0+4/4*1176064.97*0+6/6*1378664.81*0+7/7*1586787*0+8/8*1798271.36*0+9/9*2040441*0+10/10*2354860.55*0+12/12*2716126</f>
        <v>2716126</v>
      </c>
      <c r="O44" s="187"/>
      <c r="P44" s="187"/>
      <c r="Q44" s="199"/>
      <c r="R44" s="199"/>
      <c r="S44" s="199"/>
      <c r="T44" s="199"/>
      <c r="U44" s="199"/>
      <c r="V44" s="199"/>
      <c r="W44" s="199">
        <f>1500+4/4*500+5/5*500+6/6*500+7/7*500+9/9*2*500+10/10*500+12/12*2*500</f>
        <v>6000</v>
      </c>
      <c r="X44" s="199"/>
      <c r="Y44" s="199"/>
      <c r="Z44" s="199"/>
      <c r="AA44" s="199"/>
      <c r="AG44" s="195">
        <f t="shared" si="3"/>
        <v>6000</v>
      </c>
      <c r="AH44" s="189">
        <f t="shared" si="0"/>
        <v>-1561.37</v>
      </c>
    </row>
    <row r="45" spans="1:34" ht="12.75">
      <c r="A45" s="181" t="s">
        <v>1421</v>
      </c>
      <c r="C45" s="183">
        <f>71000.57*0+4/4*93877.94*0+5/5*101123.61*0+6/6*106562.25*0+9/9*112000.89*0+10/10*134290.54*0+12/12*209405.17</f>
        <v>209405.17</v>
      </c>
      <c r="D45" s="183">
        <f>56691.35*0+5/5*61257.99*0+6/6*92299.41*0+10/10*92632.73*0+12/12*153299.13</f>
        <v>153299.13</v>
      </c>
      <c r="E45" s="182"/>
      <c r="F45" s="182"/>
      <c r="G45" s="182"/>
      <c r="H45" s="182"/>
      <c r="I45" s="182"/>
      <c r="J45" s="182"/>
      <c r="K45" s="182"/>
      <c r="L45" s="195">
        <f t="shared" si="1"/>
        <v>362704.30000000005</v>
      </c>
      <c r="M45" s="209" t="s">
        <v>1422</v>
      </c>
      <c r="N45" s="210">
        <f>692389.6*0+4/4*869276.3*0+6/6*1005697.02*0+7/7*1232365.28*0+8/8*1254026.79*0+9/9*1560568.84*0+10/10*1823443.59*0+12/12*1939724.28</f>
        <v>1939724.28</v>
      </c>
      <c r="O45" s="187">
        <f>43140+46539-X45</f>
        <v>-116867</v>
      </c>
      <c r="P45" s="187">
        <f>14668+15822-Y45</f>
        <v>-48596</v>
      </c>
      <c r="Q45" s="199"/>
      <c r="R45" s="199"/>
      <c r="S45" s="193">
        <f>8/8*44/44*7658</f>
        <v>7658</v>
      </c>
      <c r="T45" s="199"/>
      <c r="U45" s="199"/>
      <c r="V45" s="199"/>
      <c r="W45" s="199">
        <f>54013.4*0+4/4*75813.4*0+5/5*103263.4*0+6/6*116303*0+7/7*119503*0+9/9*128003*0+10/10*153003*0+12/12*238500</f>
        <v>238500</v>
      </c>
      <c r="X45" s="199">
        <f>5/5*71953*0+9/9*151186*0+12/12*206546</f>
        <v>206546</v>
      </c>
      <c r="Y45" s="199">
        <f>5/5*24466*0+9/9*51405*0+12/12*79086</f>
        <v>79086</v>
      </c>
      <c r="Z45" s="199"/>
      <c r="AA45" s="199"/>
      <c r="AD45" s="188">
        <f>549/549*0.2</f>
        <v>0.2</v>
      </c>
      <c r="AF45" s="198">
        <f>44/44*7658+3319/3319*330594.2*0+10/10*355594.2*0+12/12*524132.2-AG45</f>
        <v>0</v>
      </c>
      <c r="AG45" s="195">
        <f>SUM(Q45:AE45)-44/44*7658*0</f>
        <v>531790.2</v>
      </c>
      <c r="AH45" s="189">
        <f t="shared" si="0"/>
        <v>-169085.8999999999</v>
      </c>
    </row>
    <row r="46" spans="1:34" ht="12.75">
      <c r="A46" s="181" t="s">
        <v>1423</v>
      </c>
      <c r="C46" s="182"/>
      <c r="D46" s="183">
        <f>15468*0+4/4*19644*0+5/5*23556*0+6/6*26154*0+7/7*28608*0+8/8*34206*0+9/9*37824*0+10/10*42582*0+12/12*49068</f>
        <v>49068</v>
      </c>
      <c r="E46" s="182"/>
      <c r="F46" s="182"/>
      <c r="G46" s="182"/>
      <c r="H46" s="182"/>
      <c r="I46" s="182"/>
      <c r="J46" s="182"/>
      <c r="K46" s="182"/>
      <c r="L46" s="184">
        <f t="shared" si="1"/>
        <v>49068</v>
      </c>
      <c r="M46" s="187" t="s">
        <v>1424</v>
      </c>
      <c r="N46" s="211">
        <f>15468*0+4/4*19644*0+6/6*26154*0+7/7*28608*0+8/8*34206*0+9/9*37824*0+10/10*42582*0+12/12*49068</f>
        <v>49068</v>
      </c>
      <c r="O46" s="187"/>
      <c r="P46" s="187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G46" s="191">
        <f t="shared" si="3"/>
        <v>0</v>
      </c>
      <c r="AH46" s="189">
        <f t="shared" si="0"/>
        <v>49068</v>
      </c>
    </row>
    <row r="47" spans="1:34" ht="12" customHeight="1">
      <c r="A47" s="181" t="s">
        <v>1425</v>
      </c>
      <c r="C47" s="183">
        <f>11632.86*0+4/4*18499.36*0+5/5*26824.26*0+6/6*74764.1*0+7/7*117879.41*0+8/8*134295.42*0+9/9*140095.19*0+10/10*150903.29*0+12/12*156961.38</f>
        <v>156961.38</v>
      </c>
      <c r="D47" s="190"/>
      <c r="E47" s="182"/>
      <c r="F47" s="182"/>
      <c r="G47" s="182"/>
      <c r="H47" s="182"/>
      <c r="I47" s="182"/>
      <c r="J47" s="182"/>
      <c r="K47" s="182"/>
      <c r="L47" s="184">
        <f t="shared" si="1"/>
        <v>156961.38</v>
      </c>
      <c r="M47" s="187" t="s">
        <v>1426</v>
      </c>
      <c r="N47" s="10">
        <f>12/12*7999.68</f>
        <v>7999.68</v>
      </c>
      <c r="O47" s="187">
        <f>15627+15357-X47</f>
        <v>-30935</v>
      </c>
      <c r="P47" s="187">
        <f>5310+5222-Y47</f>
        <v>-10527</v>
      </c>
      <c r="Q47" s="199">
        <f>737.75*0+1273.57*0+7/7*1522.74*0+8/8*2182.74*0+9/9*3206.07*0+3523.57*0+12/12*4576.07</f>
        <v>4576.07</v>
      </c>
      <c r="R47" s="199"/>
      <c r="S47" s="199">
        <f>1285*0+10/10*85644.18*0+12/12*111352.51</f>
        <v>111352.51</v>
      </c>
      <c r="T47" s="199"/>
      <c r="U47" s="199">
        <f>21239*0+6/6*30570.59*0+12/12*38720.59</f>
        <v>38720.59</v>
      </c>
      <c r="V47" s="199"/>
      <c r="W47" s="199">
        <f>783*0+6/6*1465*0+7/7*2122.2*0+8/8*3152*0+9/9*4491.4*0+10/10*5425.9*0+12/12*9295</f>
        <v>9295</v>
      </c>
      <c r="X47" s="199">
        <f>5/5*19826*0+9/9*39900*0+12/12*61919</f>
        <v>61919</v>
      </c>
      <c r="Y47" s="199">
        <f>5/5*6743*0+9/9*13569*0+12/12*21059</f>
        <v>21059</v>
      </c>
      <c r="Z47" s="199"/>
      <c r="AA47" s="199"/>
      <c r="AD47" s="188">
        <f>549/549*(6/6*0.2*0+7/7*0.7*0+8/8*1*0+9/9*1.3*0+10/10*1*0+12/12*0.4)</f>
        <v>0.4</v>
      </c>
      <c r="AG47" s="184">
        <f>SUM(Q47:AF47)-(24730.62+532/532*1446)*0</f>
        <v>246922.56999999998</v>
      </c>
      <c r="AH47" s="189">
        <f t="shared" si="0"/>
        <v>-89961.18999999997</v>
      </c>
    </row>
    <row r="48" spans="1:34" ht="12.75">
      <c r="A48" s="181" t="s">
        <v>1427</v>
      </c>
      <c r="C48" s="182"/>
      <c r="D48" s="190"/>
      <c r="E48" s="182"/>
      <c r="F48" s="182"/>
      <c r="G48" s="182"/>
      <c r="H48" s="182"/>
      <c r="I48" s="182"/>
      <c r="J48" s="182"/>
      <c r="K48" s="182"/>
      <c r="L48" s="212">
        <f t="shared" si="1"/>
        <v>0</v>
      </c>
      <c r="M48" s="187" t="s">
        <v>1428</v>
      </c>
      <c r="N48" s="213" t="s">
        <v>1429</v>
      </c>
      <c r="O48" s="187"/>
      <c r="P48" s="187"/>
      <c r="W48" s="188">
        <f>4567*0+4/4*4906.5*0+5/5*5321*0+6/6*8429.5*0+7/7*8799*0+8/8*9153.5*0+9/9*11406*0+10/10*11820.5*0+12/12*15032.5</f>
        <v>15032.5</v>
      </c>
      <c r="AG48" s="212">
        <f>SUM(Q48:AF48)</f>
        <v>15032.5</v>
      </c>
      <c r="AH48" s="189">
        <f t="shared" si="0"/>
        <v>-15032.5</v>
      </c>
    </row>
    <row r="49" spans="1:34" ht="12.75">
      <c r="A49" s="181" t="s">
        <v>1430</v>
      </c>
      <c r="C49" s="182"/>
      <c r="D49" s="190"/>
      <c r="E49" s="182"/>
      <c r="F49" s="182"/>
      <c r="G49" s="182"/>
      <c r="H49" s="182"/>
      <c r="I49" s="182"/>
      <c r="J49" s="182"/>
      <c r="K49" s="182"/>
      <c r="L49" s="212">
        <f t="shared" si="1"/>
        <v>0</v>
      </c>
      <c r="M49" s="209" t="s">
        <v>1431</v>
      </c>
      <c r="N49" s="209">
        <f>SUM(N42:N47)</f>
        <v>21427915.03</v>
      </c>
      <c r="O49" s="187"/>
      <c r="P49" s="187"/>
      <c r="W49" s="188">
        <f>3728*0+4/4*4097.5*0+5/5*4452*0+6/6*7367.5*0+7/7*7722*0+8/8*8121.5*0+9/9*11029*0+10/10*11413.5*0+12/12*14287.5</f>
        <v>14287.5</v>
      </c>
      <c r="AG49" s="212">
        <f>SUM(Q49:AF49)</f>
        <v>14287.5</v>
      </c>
      <c r="AH49" s="189">
        <f t="shared" si="0"/>
        <v>-14287.5</v>
      </c>
    </row>
    <row r="50" spans="1:34" ht="12.75">
      <c r="A50" s="181" t="s">
        <v>1432</v>
      </c>
      <c r="C50" s="183">
        <f>8988.72*0+4/4*14037.64*0+5/5*19074.06*0+6/6*24957.97*0+7/7*27257.87*0+8/8*33822.59*0+9/9*37458.24*0+10/10*40543.09*0+12/12*107082.88</f>
        <v>107082.88</v>
      </c>
      <c r="D50" s="190"/>
      <c r="E50" s="182"/>
      <c r="F50" s="182"/>
      <c r="G50" s="182"/>
      <c r="H50" s="182"/>
      <c r="I50" s="182"/>
      <c r="J50" s="182"/>
      <c r="K50" s="182"/>
      <c r="L50" s="212">
        <f t="shared" si="1"/>
        <v>107082.88</v>
      </c>
      <c r="M50" s="187"/>
      <c r="N50" s="214"/>
      <c r="O50" s="187">
        <f>164482+205886-X50</f>
        <v>-425155</v>
      </c>
      <c r="P50" s="187">
        <f>55923+70005-Y50</f>
        <v>-144553</v>
      </c>
      <c r="W50" s="188">
        <f>7/7*900</f>
        <v>900</v>
      </c>
      <c r="X50" s="188">
        <f>5/5*269770*0+9/9*545159*0+12/12*795523</f>
        <v>795523</v>
      </c>
      <c r="Y50" s="188">
        <f>5/5*91725*0+9/9*185364*0+12/12*270481</f>
        <v>270481</v>
      </c>
      <c r="AG50" s="212">
        <f>SUM(Q50:AF50)</f>
        <v>1066904</v>
      </c>
      <c r="AH50" s="189">
        <f t="shared" si="0"/>
        <v>-959821.12</v>
      </c>
    </row>
    <row r="51" spans="1:34" s="216" customFormat="1" ht="9.75" customHeight="1">
      <c r="A51" s="215" t="s">
        <v>1433</v>
      </c>
      <c r="C51" s="108"/>
      <c r="D51" s="217">
        <f>1158920+225825+2/2*(1161910+225805)+3/3*(1159603+225805)+4/4*(1159319+225805)+5/5*(1154283+225805)+6/6*(1151380+225805)+7/7*(1143889+225805)+8/8*1145174+225805</f>
        <v>11040938</v>
      </c>
      <c r="E51" s="108"/>
      <c r="F51" s="108"/>
      <c r="G51" s="108"/>
      <c r="H51" s="108"/>
      <c r="I51" s="108"/>
      <c r="J51" s="108"/>
      <c r="K51" s="108"/>
      <c r="L51" s="218">
        <f t="shared" si="1"/>
        <v>11040938</v>
      </c>
      <c r="M51" s="209">
        <f>D99-N49</f>
        <v>0</v>
      </c>
      <c r="N51" s="186"/>
      <c r="O51" s="219"/>
      <c r="P51" s="219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1">
        <f>SUM(Q51:AF51)</f>
        <v>0</v>
      </c>
      <c r="AH51" s="189">
        <f t="shared" si="0"/>
        <v>11040938</v>
      </c>
    </row>
    <row r="52" spans="1:34" s="222" customFormat="1" ht="9.75" customHeight="1" hidden="1">
      <c r="A52" s="215" t="s">
        <v>1434</v>
      </c>
      <c r="C52" s="223"/>
      <c r="D52" s="224">
        <f>(1161910+225805)*0</f>
        <v>0</v>
      </c>
      <c r="E52" s="223"/>
      <c r="F52" s="223"/>
      <c r="G52" s="223"/>
      <c r="H52" s="223"/>
      <c r="I52" s="223"/>
      <c r="J52" s="223"/>
      <c r="K52" s="223"/>
      <c r="L52" s="218">
        <f t="shared" si="1"/>
        <v>0</v>
      </c>
      <c r="M52" s="187"/>
      <c r="N52" s="187"/>
      <c r="O52" s="187"/>
      <c r="P52" s="187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6">
        <f>SUM(Q52:AF52)</f>
        <v>0</v>
      </c>
      <c r="AH52" s="227">
        <f t="shared" si="0"/>
        <v>0</v>
      </c>
    </row>
    <row r="53" spans="1:34" s="222" customFormat="1" ht="9.75" customHeight="1" hidden="1">
      <c r="A53" s="215" t="s">
        <v>1435</v>
      </c>
      <c r="C53" s="223"/>
      <c r="D53" s="224">
        <f>(1159603+225805)*0</f>
        <v>0</v>
      </c>
      <c r="E53" s="223"/>
      <c r="F53" s="223"/>
      <c r="G53" s="223"/>
      <c r="H53" s="223"/>
      <c r="I53" s="223"/>
      <c r="J53" s="223"/>
      <c r="K53" s="223"/>
      <c r="L53" s="218">
        <f t="shared" si="1"/>
        <v>0</v>
      </c>
      <c r="M53" s="187"/>
      <c r="N53" s="187"/>
      <c r="O53" s="187"/>
      <c r="P53" s="187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6">
        <f aca="true" t="shared" si="4" ref="AG53:AG97">SUM(Q53:AF53)</f>
        <v>0</v>
      </c>
      <c r="AH53" s="227">
        <f>L53-AG53</f>
        <v>0</v>
      </c>
    </row>
    <row r="54" spans="1:34" s="222" customFormat="1" ht="9.75" hidden="1">
      <c r="A54" s="215" t="s">
        <v>1436</v>
      </c>
      <c r="C54" s="223"/>
      <c r="D54" s="224">
        <f>(1159319+225805)*0</f>
        <v>0</v>
      </c>
      <c r="E54" s="223"/>
      <c r="F54" s="223"/>
      <c r="G54" s="223"/>
      <c r="H54" s="223"/>
      <c r="I54" s="223"/>
      <c r="J54" s="223"/>
      <c r="K54" s="223"/>
      <c r="L54" s="218">
        <f t="shared" si="1"/>
        <v>0</v>
      </c>
      <c r="M54" s="187"/>
      <c r="N54" s="187"/>
      <c r="O54" s="187"/>
      <c r="P54" s="187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6">
        <f t="shared" si="4"/>
        <v>0</v>
      </c>
      <c r="AH54" s="227">
        <f>L54-AG54</f>
        <v>0</v>
      </c>
    </row>
    <row r="55" spans="1:34" ht="12.75" hidden="1">
      <c r="A55" s="215" t="s">
        <v>1437</v>
      </c>
      <c r="C55" s="182"/>
      <c r="D55" s="190"/>
      <c r="E55" s="182"/>
      <c r="F55" s="182"/>
      <c r="G55" s="182"/>
      <c r="H55" s="182"/>
      <c r="I55" s="182"/>
      <c r="J55" s="182"/>
      <c r="K55" s="182"/>
      <c r="L55" s="202">
        <f t="shared" si="1"/>
        <v>0</v>
      </c>
      <c r="M55" s="187"/>
      <c r="N55" s="187"/>
      <c r="O55" s="187"/>
      <c r="P55" s="187"/>
      <c r="AG55" s="191">
        <f t="shared" si="4"/>
        <v>0</v>
      </c>
      <c r="AH55" s="189">
        <f t="shared" si="0"/>
        <v>0</v>
      </c>
    </row>
    <row r="56" spans="1:34" s="222" customFormat="1" ht="9.75" hidden="1">
      <c r="A56" s="215" t="s">
        <v>1438</v>
      </c>
      <c r="C56" s="223"/>
      <c r="D56" s="224">
        <f>5/5*(1154283+225805)*0</f>
        <v>0</v>
      </c>
      <c r="E56" s="223"/>
      <c r="F56" s="223"/>
      <c r="G56" s="223"/>
      <c r="H56" s="223"/>
      <c r="I56" s="223"/>
      <c r="J56" s="223"/>
      <c r="K56" s="223"/>
      <c r="L56" s="218">
        <f t="shared" si="1"/>
        <v>0</v>
      </c>
      <c r="M56" s="187"/>
      <c r="N56" s="187"/>
      <c r="O56" s="187"/>
      <c r="P56" s="187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6">
        <f t="shared" si="4"/>
        <v>0</v>
      </c>
      <c r="AH56" s="227">
        <f t="shared" si="0"/>
        <v>0</v>
      </c>
    </row>
    <row r="57" spans="1:34" s="222" customFormat="1" ht="9.75" hidden="1">
      <c r="A57" s="215" t="s">
        <v>1439</v>
      </c>
      <c r="C57" s="223"/>
      <c r="D57" s="224">
        <f>6/6*(1151380+225805)*0</f>
        <v>0</v>
      </c>
      <c r="E57" s="223"/>
      <c r="F57" s="223"/>
      <c r="G57" s="223"/>
      <c r="H57" s="223"/>
      <c r="I57" s="223"/>
      <c r="J57" s="223"/>
      <c r="K57" s="223"/>
      <c r="L57" s="218">
        <f t="shared" si="1"/>
        <v>0</v>
      </c>
      <c r="M57" s="187"/>
      <c r="N57" s="187"/>
      <c r="O57" s="187"/>
      <c r="P57" s="187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6">
        <f t="shared" si="4"/>
        <v>0</v>
      </c>
      <c r="AH57" s="227">
        <f t="shared" si="0"/>
        <v>0</v>
      </c>
    </row>
    <row r="58" spans="1:34" s="222" customFormat="1" ht="9.75" hidden="1">
      <c r="A58" s="215" t="s">
        <v>1440</v>
      </c>
      <c r="C58" s="223"/>
      <c r="D58" s="224"/>
      <c r="E58" s="223"/>
      <c r="F58" s="223"/>
      <c r="G58" s="223"/>
      <c r="H58" s="223"/>
      <c r="I58" s="223"/>
      <c r="J58" s="223"/>
      <c r="K58" s="223"/>
      <c r="L58" s="218">
        <f t="shared" si="1"/>
        <v>0</v>
      </c>
      <c r="M58" s="187"/>
      <c r="N58" s="187"/>
      <c r="O58" s="187"/>
      <c r="P58" s="187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6">
        <f t="shared" si="4"/>
        <v>0</v>
      </c>
      <c r="AH58" s="227">
        <f t="shared" si="0"/>
        <v>0</v>
      </c>
    </row>
    <row r="59" spans="1:34" s="222" customFormat="1" ht="9.75" hidden="1">
      <c r="A59" s="215" t="s">
        <v>1441</v>
      </c>
      <c r="C59" s="223"/>
      <c r="D59" s="224"/>
      <c r="E59" s="223"/>
      <c r="F59" s="223"/>
      <c r="G59" s="223"/>
      <c r="H59" s="223"/>
      <c r="I59" s="223"/>
      <c r="J59" s="223"/>
      <c r="K59" s="223"/>
      <c r="L59" s="218">
        <f t="shared" si="1"/>
        <v>0</v>
      </c>
      <c r="O59" s="228"/>
      <c r="P59" s="228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6">
        <f t="shared" si="4"/>
        <v>0</v>
      </c>
      <c r="AH59" s="227">
        <f t="shared" si="0"/>
        <v>0</v>
      </c>
    </row>
    <row r="60" spans="1:34" s="229" customFormat="1" ht="9.75" hidden="1">
      <c r="A60" s="215" t="s">
        <v>1442</v>
      </c>
      <c r="C60" s="230"/>
      <c r="D60" s="224"/>
      <c r="E60" s="230"/>
      <c r="F60" s="230"/>
      <c r="G60" s="230"/>
      <c r="H60" s="230"/>
      <c r="I60" s="230"/>
      <c r="J60" s="230"/>
      <c r="K60" s="230"/>
      <c r="L60" s="218">
        <f t="shared" si="1"/>
        <v>0</v>
      </c>
      <c r="M60" s="222"/>
      <c r="N60" s="222"/>
      <c r="O60" s="231">
        <f>SUM(D50:D60,D2)-N60-N42</f>
        <v>-3149384</v>
      </c>
      <c r="P60" s="232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4">
        <f t="shared" si="4"/>
        <v>0</v>
      </c>
      <c r="AH60" s="231">
        <f t="shared" si="0"/>
        <v>0</v>
      </c>
    </row>
    <row r="61" spans="1:34" s="222" customFormat="1" ht="9.75" hidden="1">
      <c r="A61" s="215" t="s">
        <v>1443</v>
      </c>
      <c r="C61" s="223"/>
      <c r="D61" s="224"/>
      <c r="E61" s="223"/>
      <c r="F61" s="223"/>
      <c r="G61" s="223"/>
      <c r="H61" s="223"/>
      <c r="I61" s="223"/>
      <c r="J61" s="223"/>
      <c r="K61" s="223"/>
      <c r="L61" s="218">
        <f t="shared" si="1"/>
        <v>0</v>
      </c>
      <c r="M61" s="235"/>
      <c r="N61" s="235"/>
      <c r="O61" s="227">
        <f>SUM(D51:D61,D3)-N42-N43</f>
        <v>-3684457.9199999995</v>
      </c>
      <c r="P61" s="228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6">
        <f t="shared" si="4"/>
        <v>0</v>
      </c>
      <c r="AH61" s="227">
        <f t="shared" si="0"/>
        <v>0</v>
      </c>
    </row>
    <row r="62" spans="1:34" s="222" customFormat="1" ht="9.75" hidden="1">
      <c r="A62" s="215" t="s">
        <v>1444</v>
      </c>
      <c r="C62" s="223"/>
      <c r="D62" s="224"/>
      <c r="E62" s="223"/>
      <c r="F62" s="223"/>
      <c r="G62" s="223"/>
      <c r="H62" s="223"/>
      <c r="I62" s="223"/>
      <c r="J62" s="223"/>
      <c r="K62" s="223"/>
      <c r="L62" s="218">
        <f t="shared" si="1"/>
        <v>0</v>
      </c>
      <c r="O62" s="227" t="e">
        <f>SUM(D52:D62,D4)-#REF!-N69</f>
        <v>#REF!</v>
      </c>
      <c r="P62" s="228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6">
        <f t="shared" si="4"/>
        <v>0</v>
      </c>
      <c r="AH62" s="227">
        <f t="shared" si="0"/>
        <v>0</v>
      </c>
    </row>
    <row r="63" spans="1:34" ht="12.75" hidden="1">
      <c r="A63" s="215" t="s">
        <v>1445</v>
      </c>
      <c r="C63" s="182"/>
      <c r="D63" s="190"/>
      <c r="E63" s="108"/>
      <c r="F63" s="108"/>
      <c r="G63" s="108"/>
      <c r="H63" s="108"/>
      <c r="I63" s="108"/>
      <c r="J63" s="108"/>
      <c r="K63" s="108"/>
      <c r="L63" s="202">
        <f t="shared" si="1"/>
        <v>0</v>
      </c>
      <c r="M63" s="169"/>
      <c r="N63" s="169"/>
      <c r="O63" s="236" t="e">
        <f>SUM(D53:D63,D5)-#REF!-N42</f>
        <v>#REF!</v>
      </c>
      <c r="P63" s="228"/>
      <c r="AG63" s="191">
        <f t="shared" si="4"/>
        <v>0</v>
      </c>
      <c r="AH63" s="189">
        <f t="shared" si="0"/>
        <v>0</v>
      </c>
    </row>
    <row r="64" spans="1:34" s="222" customFormat="1" ht="9.75" hidden="1">
      <c r="A64" s="215" t="s">
        <v>1446</v>
      </c>
      <c r="C64" s="223"/>
      <c r="D64" s="224">
        <f>7/7*(1143889+225805)*0</f>
        <v>0</v>
      </c>
      <c r="E64" s="223"/>
      <c r="F64" s="223"/>
      <c r="G64" s="223"/>
      <c r="H64" s="223"/>
      <c r="I64" s="223"/>
      <c r="J64" s="223"/>
      <c r="K64" s="223"/>
      <c r="L64" s="218">
        <f t="shared" si="1"/>
        <v>0</v>
      </c>
      <c r="M64" s="187"/>
      <c r="N64" s="187"/>
      <c r="O64" s="187"/>
      <c r="P64" s="187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6">
        <f t="shared" si="4"/>
        <v>0</v>
      </c>
      <c r="AH64" s="227">
        <f t="shared" si="0"/>
        <v>0</v>
      </c>
    </row>
    <row r="65" spans="1:34" s="222" customFormat="1" ht="9.75">
      <c r="A65" s="215" t="s">
        <v>1447</v>
      </c>
      <c r="C65" s="223"/>
      <c r="D65" s="217">
        <f>9/9*1146552+225805</f>
        <v>1372357</v>
      </c>
      <c r="E65" s="223"/>
      <c r="F65" s="223"/>
      <c r="G65" s="223"/>
      <c r="H65" s="223"/>
      <c r="I65" s="223"/>
      <c r="J65" s="223"/>
      <c r="K65" s="223"/>
      <c r="L65" s="218">
        <f>SUM(B65:K65)</f>
        <v>1372357</v>
      </c>
      <c r="M65" s="187"/>
      <c r="N65" s="187"/>
      <c r="O65" s="187"/>
      <c r="P65" s="187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6">
        <f t="shared" si="4"/>
        <v>0</v>
      </c>
      <c r="AH65" s="227">
        <f t="shared" si="0"/>
        <v>1372357</v>
      </c>
    </row>
    <row r="66" spans="1:34" s="222" customFormat="1" ht="9.75">
      <c r="A66" s="215" t="s">
        <v>1448</v>
      </c>
      <c r="C66" s="223"/>
      <c r="D66" s="217">
        <f>10/10*(1267154+225805)</f>
        <v>1492959</v>
      </c>
      <c r="E66" s="223"/>
      <c r="F66" s="223"/>
      <c r="G66" s="223"/>
      <c r="H66" s="223"/>
      <c r="I66" s="223"/>
      <c r="J66" s="223"/>
      <c r="K66" s="223"/>
      <c r="L66" s="218">
        <f>SUM(B66:K66)</f>
        <v>1492959</v>
      </c>
      <c r="M66" s="187"/>
      <c r="N66" s="187"/>
      <c r="O66" s="187"/>
      <c r="P66" s="187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6">
        <f>SUM(Q66:AF66)</f>
        <v>0</v>
      </c>
      <c r="AH66" s="227">
        <f>L66-AG66</f>
        <v>1492959</v>
      </c>
    </row>
    <row r="67" spans="1:34" s="238" customFormat="1" ht="12.75">
      <c r="A67" s="237" t="s">
        <v>1449</v>
      </c>
      <c r="C67" s="22"/>
      <c r="D67" s="239">
        <f>11/11*(1269968+224486)+12/12*(1272170+225394)</f>
        <v>2992018</v>
      </c>
      <c r="E67" s="22"/>
      <c r="F67" s="22"/>
      <c r="G67" s="22"/>
      <c r="H67" s="22"/>
      <c r="I67" s="22"/>
      <c r="J67" s="22"/>
      <c r="K67" s="22"/>
      <c r="L67" s="202">
        <f>SUM(B67:K67)</f>
        <v>2992018</v>
      </c>
      <c r="M67" s="209"/>
      <c r="N67" s="209"/>
      <c r="O67" s="209"/>
      <c r="P67" s="209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240">
        <f>SUM(Q67:AF67)</f>
        <v>0</v>
      </c>
      <c r="AH67" s="236">
        <f>L67-AG67</f>
        <v>2992018</v>
      </c>
    </row>
    <row r="68" spans="1:34" s="238" customFormat="1" ht="12.75" hidden="1">
      <c r="A68" s="237" t="s">
        <v>1450</v>
      </c>
      <c r="C68" s="22"/>
      <c r="D68" s="241"/>
      <c r="E68" s="22"/>
      <c r="F68" s="22"/>
      <c r="G68" s="22"/>
      <c r="H68" s="22"/>
      <c r="I68" s="22"/>
      <c r="J68" s="108"/>
      <c r="K68" s="22"/>
      <c r="L68" s="191">
        <f t="shared" si="1"/>
        <v>0</v>
      </c>
      <c r="O68" s="236" t="e">
        <f>O72+O97-N44</f>
        <v>#VALUE!</v>
      </c>
      <c r="P68" s="236" t="s">
        <v>1451</v>
      </c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220"/>
      <c r="AB68" s="10"/>
      <c r="AC68" s="10"/>
      <c r="AD68" s="10"/>
      <c r="AE68" s="188"/>
      <c r="AF68" s="10"/>
      <c r="AG68" s="191">
        <f t="shared" si="4"/>
        <v>0</v>
      </c>
      <c r="AH68" s="189">
        <f aca="true" t="shared" si="5" ref="AH68:AH98">L68-AG68</f>
        <v>0</v>
      </c>
    </row>
    <row r="69" spans="1:34" s="238" customFormat="1" ht="12.75">
      <c r="A69" s="237" t="s">
        <v>1452</v>
      </c>
      <c r="C69" s="22"/>
      <c r="D69" s="241"/>
      <c r="E69" s="22"/>
      <c r="F69" s="22"/>
      <c r="G69" s="22"/>
      <c r="H69" s="22"/>
      <c r="I69" s="22"/>
      <c r="J69" s="108"/>
      <c r="K69" s="22"/>
      <c r="L69" s="208">
        <f t="shared" si="1"/>
        <v>0</v>
      </c>
      <c r="M69" s="209"/>
      <c r="N69" s="220"/>
      <c r="O69" s="236">
        <f>SUM(D28+D36+D44+D94)</f>
        <v>2044</v>
      </c>
      <c r="P69" s="236" t="s">
        <v>1453</v>
      </c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88">
        <f>538/538*39330*0+1311000*3%</f>
        <v>39330</v>
      </c>
      <c r="AB69" s="188"/>
      <c r="AC69" s="188"/>
      <c r="AD69" s="188"/>
      <c r="AE69" s="188"/>
      <c r="AF69" s="10"/>
      <c r="AG69" s="208">
        <f t="shared" si="4"/>
        <v>39330</v>
      </c>
      <c r="AH69" s="189">
        <f t="shared" si="5"/>
        <v>-39330</v>
      </c>
    </row>
    <row r="70" spans="1:34" s="238" customFormat="1" ht="12.75">
      <c r="A70" s="237" t="s">
        <v>1454</v>
      </c>
      <c r="C70" s="22"/>
      <c r="D70" s="241"/>
      <c r="E70" s="22"/>
      <c r="F70" s="22"/>
      <c r="G70" s="22"/>
      <c r="H70" s="22"/>
      <c r="I70" s="22"/>
      <c r="J70" s="108"/>
      <c r="K70" s="22"/>
      <c r="L70" s="208">
        <f t="shared" si="1"/>
        <v>0</v>
      </c>
      <c r="O70" s="236">
        <f>SUM(D29+D42+D45+D95)</f>
        <v>240882.44</v>
      </c>
      <c r="P70" s="236" t="s">
        <v>1453</v>
      </c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88">
        <f>538/538*28500*0+950000*3%</f>
        <v>28500</v>
      </c>
      <c r="AB70" s="188"/>
      <c r="AC70" s="188"/>
      <c r="AD70" s="188"/>
      <c r="AE70" s="188"/>
      <c r="AF70" s="10"/>
      <c r="AG70" s="208">
        <f t="shared" si="4"/>
        <v>28500</v>
      </c>
      <c r="AH70" s="189">
        <f t="shared" si="5"/>
        <v>-28500</v>
      </c>
    </row>
    <row r="71" spans="1:34" s="238" customFormat="1" ht="12.75">
      <c r="A71" s="237" t="s">
        <v>1455</v>
      </c>
      <c r="C71" s="22"/>
      <c r="D71" s="241"/>
      <c r="E71" s="22"/>
      <c r="F71" s="22"/>
      <c r="G71" s="22"/>
      <c r="H71" s="22"/>
      <c r="I71" s="22"/>
      <c r="J71" s="108"/>
      <c r="K71" s="22"/>
      <c r="L71" s="208">
        <f t="shared" si="1"/>
        <v>0</v>
      </c>
      <c r="O71" s="236">
        <f>SUM(D30+D43+D46+D96)</f>
        <v>49068</v>
      </c>
      <c r="P71" s="236" t="s">
        <v>1453</v>
      </c>
      <c r="Q71" s="10"/>
      <c r="R71" s="10"/>
      <c r="S71" s="10"/>
      <c r="T71" s="10"/>
      <c r="U71" s="10"/>
      <c r="V71" s="10"/>
      <c r="W71" s="188"/>
      <c r="X71" s="10"/>
      <c r="Y71" s="10"/>
      <c r="Z71" s="10"/>
      <c r="AA71" s="188">
        <f>538/538*13797*0+459900*3%</f>
        <v>13797</v>
      </c>
      <c r="AB71" s="188"/>
      <c r="AC71" s="188"/>
      <c r="AD71" s="188"/>
      <c r="AE71" s="188"/>
      <c r="AF71" s="10"/>
      <c r="AG71" s="208">
        <f t="shared" si="4"/>
        <v>13797</v>
      </c>
      <c r="AH71" s="189">
        <f t="shared" si="5"/>
        <v>-13797</v>
      </c>
    </row>
    <row r="72" spans="1:34" s="238" customFormat="1" ht="12.75" hidden="1">
      <c r="A72" s="237" t="s">
        <v>1456</v>
      </c>
      <c r="C72" s="22"/>
      <c r="D72" s="241"/>
      <c r="E72" s="22"/>
      <c r="F72" s="22"/>
      <c r="G72" s="22"/>
      <c r="H72" s="22"/>
      <c r="I72" s="22"/>
      <c r="J72" s="108"/>
      <c r="K72" s="22"/>
      <c r="L72" s="191">
        <f t="shared" si="1"/>
        <v>0</v>
      </c>
      <c r="O72" s="236">
        <f>SUM(D29+D42+D45+D95)</f>
        <v>240882.44</v>
      </c>
      <c r="P72" s="236" t="s">
        <v>1453</v>
      </c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220"/>
      <c r="AB72" s="10"/>
      <c r="AC72" s="10"/>
      <c r="AD72" s="188"/>
      <c r="AE72" s="188"/>
      <c r="AF72" s="10"/>
      <c r="AG72" s="191">
        <f t="shared" si="4"/>
        <v>0</v>
      </c>
      <c r="AH72" s="189">
        <f t="shared" si="5"/>
        <v>0</v>
      </c>
    </row>
    <row r="73" spans="1:34" s="238" customFormat="1" ht="12.75" hidden="1">
      <c r="A73" s="237" t="s">
        <v>1457</v>
      </c>
      <c r="C73" s="22"/>
      <c r="D73" s="241"/>
      <c r="E73" s="22"/>
      <c r="F73" s="22"/>
      <c r="G73" s="22"/>
      <c r="H73" s="22"/>
      <c r="I73" s="22"/>
      <c r="J73" s="108"/>
      <c r="K73" s="22"/>
      <c r="L73" s="191">
        <f t="shared" si="1"/>
        <v>0</v>
      </c>
      <c r="O73" s="236">
        <f>N45-D31-D82</f>
        <v>1742978.36</v>
      </c>
      <c r="P73" s="236" t="s">
        <v>1458</v>
      </c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220"/>
      <c r="AB73" s="10"/>
      <c r="AC73" s="10"/>
      <c r="AD73" s="188"/>
      <c r="AE73" s="188"/>
      <c r="AF73" s="10"/>
      <c r="AG73" s="191">
        <f t="shared" si="4"/>
        <v>0</v>
      </c>
      <c r="AH73" s="189">
        <f t="shared" si="5"/>
        <v>0</v>
      </c>
    </row>
    <row r="74" spans="1:34" s="238" customFormat="1" ht="12.75">
      <c r="A74" s="237" t="s">
        <v>1459</v>
      </c>
      <c r="C74" s="22"/>
      <c r="D74" s="241"/>
      <c r="E74" s="22"/>
      <c r="F74" s="22"/>
      <c r="G74" s="22"/>
      <c r="H74" s="22"/>
      <c r="I74" s="22"/>
      <c r="J74" s="108">
        <f>9/9*163020+12/12*(17201721/17201721)*92570</f>
        <v>255590</v>
      </c>
      <c r="K74" s="22"/>
      <c r="L74" s="208">
        <f t="shared" si="1"/>
        <v>255590</v>
      </c>
      <c r="O74" s="225"/>
      <c r="P74" s="225"/>
      <c r="Q74" s="10"/>
      <c r="R74" s="10"/>
      <c r="S74" s="10"/>
      <c r="T74" s="10"/>
      <c r="U74" s="10"/>
      <c r="V74" s="10"/>
      <c r="W74" s="188"/>
      <c r="X74" s="10"/>
      <c r="Y74" s="10"/>
      <c r="Z74" s="10"/>
      <c r="AA74" s="10"/>
      <c r="AB74" s="10"/>
      <c r="AC74" s="10"/>
      <c r="AD74" s="188">
        <f>549/549*9/9*81510*0</f>
        <v>0</v>
      </c>
      <c r="AE74" s="188">
        <f>554/554*9/9*4560</f>
        <v>4560</v>
      </c>
      <c r="AF74" s="10"/>
      <c r="AG74" s="208">
        <f t="shared" si="4"/>
        <v>4560</v>
      </c>
      <c r="AH74" s="189">
        <f t="shared" si="5"/>
        <v>251030</v>
      </c>
    </row>
    <row r="75" spans="1:34" s="238" customFormat="1" ht="12.75" hidden="1">
      <c r="A75" s="237" t="s">
        <v>1460</v>
      </c>
      <c r="C75" s="22"/>
      <c r="D75" s="241"/>
      <c r="E75" s="22"/>
      <c r="F75" s="22"/>
      <c r="G75" s="22"/>
      <c r="H75" s="22"/>
      <c r="I75" s="22"/>
      <c r="J75" s="108"/>
      <c r="K75" s="22"/>
      <c r="L75" s="191">
        <f t="shared" si="1"/>
        <v>0</v>
      </c>
      <c r="O75" s="236">
        <f>SUM(D34+D47+D50+D100)</f>
        <v>0</v>
      </c>
      <c r="P75" s="236" t="s">
        <v>1453</v>
      </c>
      <c r="Q75" s="10"/>
      <c r="R75" s="10"/>
      <c r="S75" s="10"/>
      <c r="T75" s="10"/>
      <c r="U75" s="10"/>
      <c r="V75" s="10"/>
      <c r="W75" s="188"/>
      <c r="X75" s="10"/>
      <c r="Y75" s="10"/>
      <c r="Z75" s="10"/>
      <c r="AA75" s="188"/>
      <c r="AB75" s="188"/>
      <c r="AC75" s="188"/>
      <c r="AD75" s="188"/>
      <c r="AE75" s="188"/>
      <c r="AF75" s="10"/>
      <c r="AG75" s="191">
        <f t="shared" si="4"/>
        <v>0</v>
      </c>
      <c r="AH75" s="189">
        <f t="shared" si="5"/>
        <v>0</v>
      </c>
    </row>
    <row r="76" spans="1:34" ht="12.75">
      <c r="A76" s="181" t="s">
        <v>1461</v>
      </c>
      <c r="C76" s="183">
        <f>1037.47*0+4/4*1387.46*0+5/5*1762.44*0+6/6*2124.93*0+7/7*2512.41*0+8/8*2912.39*0+9/9*3287.37*0+10/10*3974.84*0+12/12*5037.3</f>
        <v>5037.3</v>
      </c>
      <c r="D76" s="190"/>
      <c r="E76" s="182"/>
      <c r="F76" s="182"/>
      <c r="G76" s="182"/>
      <c r="H76" s="182"/>
      <c r="I76" s="182"/>
      <c r="J76" s="182"/>
      <c r="K76" s="182"/>
      <c r="L76" s="195">
        <f t="shared" si="1"/>
        <v>5037.3</v>
      </c>
      <c r="O76" s="228"/>
      <c r="P76" s="228"/>
      <c r="AG76" s="195">
        <f t="shared" si="4"/>
        <v>0</v>
      </c>
      <c r="AH76" s="189">
        <f t="shared" si="5"/>
        <v>5037.3</v>
      </c>
    </row>
    <row r="77" spans="1:34" ht="12.75">
      <c r="A77" s="181" t="s">
        <v>1462</v>
      </c>
      <c r="C77" s="183">
        <f>3316.54*0+4/4*4583.16*0+5/5*5716.45*0+6/6*6958.07*0+7/7*8416.34*0+8/8*9557.96*0+9/9*10099.6</f>
        <v>10099.6</v>
      </c>
      <c r="D77" s="190"/>
      <c r="E77" s="182"/>
      <c r="F77" s="182"/>
      <c r="G77" s="182"/>
      <c r="H77" s="182"/>
      <c r="I77" s="182"/>
      <c r="J77" s="182"/>
      <c r="K77" s="182"/>
      <c r="L77" s="195">
        <f t="shared" si="1"/>
        <v>10099.6</v>
      </c>
      <c r="O77" s="187"/>
      <c r="P77" s="187"/>
      <c r="Q77" s="188">
        <f>4/4*53.51</f>
        <v>53.51</v>
      </c>
      <c r="X77" s="188">
        <f>5/5*11200*0+9/9*22400*0+12/12*23380</f>
        <v>23380</v>
      </c>
      <c r="Y77" s="188">
        <f>5/5*3808+9/9*3808</f>
        <v>7616</v>
      </c>
      <c r="AG77" s="195">
        <f t="shared" si="4"/>
        <v>31049.51</v>
      </c>
      <c r="AH77" s="189">
        <f t="shared" si="5"/>
        <v>-20949.909999999996</v>
      </c>
    </row>
    <row r="78" spans="1:34" ht="12.75">
      <c r="A78" s="181" t="s">
        <v>1463</v>
      </c>
      <c r="C78" s="182"/>
      <c r="D78" s="183">
        <f>12/12*7999.68</f>
        <v>7999.68</v>
      </c>
      <c r="E78" s="182"/>
      <c r="F78" s="182"/>
      <c r="G78" s="182"/>
      <c r="H78" s="182"/>
      <c r="I78" s="182"/>
      <c r="J78" s="182"/>
      <c r="K78" s="182"/>
      <c r="L78" s="195">
        <f>SUM(B78:K78)</f>
        <v>7999.68</v>
      </c>
      <c r="O78" s="228"/>
      <c r="P78" s="228"/>
      <c r="AG78" s="195">
        <f t="shared" si="4"/>
        <v>0</v>
      </c>
      <c r="AH78" s="189">
        <f>L78-AG78</f>
        <v>7999.68</v>
      </c>
    </row>
    <row r="79" spans="1:34" ht="12.75">
      <c r="A79" s="197" t="s">
        <v>1464</v>
      </c>
      <c r="C79" s="183">
        <f>8333+65561.93</f>
        <v>73894.93</v>
      </c>
      <c r="D79" s="183">
        <f>9/9*30000</f>
        <v>30000</v>
      </c>
      <c r="E79" s="182"/>
      <c r="F79" s="182"/>
      <c r="G79" s="182"/>
      <c r="H79" s="182"/>
      <c r="I79" s="182"/>
      <c r="J79" s="182"/>
      <c r="K79" s="182"/>
      <c r="L79" s="212">
        <f t="shared" si="1"/>
        <v>103894.93</v>
      </c>
      <c r="O79" s="187"/>
      <c r="P79" s="187"/>
      <c r="Q79" s="188">
        <f>3180.7</f>
        <v>3180.7</v>
      </c>
      <c r="W79" s="188">
        <f>34112</f>
        <v>34112</v>
      </c>
      <c r="AD79" s="188">
        <f>0.2</f>
        <v>0.2</v>
      </c>
      <c r="AG79" s="212">
        <f t="shared" si="4"/>
        <v>37292.899999999994</v>
      </c>
      <c r="AH79" s="189">
        <f t="shared" si="5"/>
        <v>66602.03</v>
      </c>
    </row>
    <row r="80" spans="1:34" ht="12.75" customHeight="1" hidden="1">
      <c r="A80" s="181" t="s">
        <v>1465</v>
      </c>
      <c r="C80" s="182"/>
      <c r="D80" s="190"/>
      <c r="E80" s="182"/>
      <c r="F80" s="182"/>
      <c r="G80" s="182"/>
      <c r="H80" s="182"/>
      <c r="I80" s="182"/>
      <c r="J80" s="182"/>
      <c r="K80" s="182"/>
      <c r="L80" s="191">
        <f t="shared" si="1"/>
        <v>0</v>
      </c>
      <c r="M80" s="186"/>
      <c r="N80" s="186"/>
      <c r="O80" s="187"/>
      <c r="P80" s="187"/>
      <c r="AG80" s="191">
        <f t="shared" si="4"/>
        <v>0</v>
      </c>
      <c r="AH80" s="189">
        <f t="shared" si="5"/>
        <v>0</v>
      </c>
    </row>
    <row r="81" spans="1:34" ht="12.75" customHeight="1" hidden="1">
      <c r="A81" s="181" t="s">
        <v>1466</v>
      </c>
      <c r="C81" s="182"/>
      <c r="D81" s="190"/>
      <c r="E81" s="182"/>
      <c r="F81" s="182"/>
      <c r="G81" s="182"/>
      <c r="H81" s="182"/>
      <c r="I81" s="182"/>
      <c r="J81" s="182"/>
      <c r="K81" s="182"/>
      <c r="L81" s="191">
        <f t="shared" si="1"/>
        <v>0</v>
      </c>
      <c r="M81" s="186"/>
      <c r="N81" s="186"/>
      <c r="O81" s="187"/>
      <c r="P81" s="187"/>
      <c r="AG81" s="191">
        <f t="shared" si="4"/>
        <v>0</v>
      </c>
      <c r="AH81" s="189">
        <f t="shared" si="5"/>
        <v>0</v>
      </c>
    </row>
    <row r="82" spans="1:34" ht="12.75">
      <c r="A82" s="206" t="s">
        <v>1467</v>
      </c>
      <c r="C82" s="182"/>
      <c r="D82" s="183">
        <f>25233.16*0+4/4*34702.78*0+5/5*43382.43*0+6/6*53024.54*0+7/7*62765.82*0+8/8*68659.75*0+9/9*75601.97*0+10/10*85455.74*0+12/12*101745.92</f>
        <v>101745.92</v>
      </c>
      <c r="E82" s="182"/>
      <c r="F82" s="182"/>
      <c r="G82" s="182"/>
      <c r="H82" s="182"/>
      <c r="I82" s="182"/>
      <c r="J82" s="182"/>
      <c r="K82" s="182"/>
      <c r="L82" s="184">
        <f>SUM(B82:K82)</f>
        <v>101745.92</v>
      </c>
      <c r="M82" s="186"/>
      <c r="N82" s="186"/>
      <c r="O82" s="187"/>
      <c r="P82" s="187"/>
      <c r="Q82" s="188">
        <f>4/4*2650+8/8*2650+12/12*4240</f>
        <v>9540</v>
      </c>
      <c r="U82" s="188">
        <f>4/4*940*0+6/6*27330</f>
        <v>27330</v>
      </c>
      <c r="W82" s="188">
        <f>1446*0+1673*0+5/5*3201*0+6/6*3432*0+8/8*3698*0+9/9*3864*0+10/10*4100.5*0+12/12*5330.5</f>
        <v>5330.5</v>
      </c>
      <c r="AG82" s="184">
        <f t="shared" si="4"/>
        <v>42200.5</v>
      </c>
      <c r="AH82" s="189">
        <f t="shared" si="5"/>
        <v>59545.42</v>
      </c>
    </row>
    <row r="83" spans="1:34" ht="12.75" hidden="1">
      <c r="A83" s="206" t="s">
        <v>1468</v>
      </c>
      <c r="C83" s="182"/>
      <c r="D83" s="190"/>
      <c r="E83" s="182"/>
      <c r="F83" s="182"/>
      <c r="G83" s="182"/>
      <c r="H83" s="182"/>
      <c r="I83" s="182"/>
      <c r="J83" s="182"/>
      <c r="K83" s="182"/>
      <c r="L83" s="191">
        <f>SUM(B83:K83)</f>
        <v>0</v>
      </c>
      <c r="M83" s="186"/>
      <c r="N83" s="186"/>
      <c r="O83" s="187"/>
      <c r="P83" s="187"/>
      <c r="AG83" s="191">
        <f t="shared" si="4"/>
        <v>0</v>
      </c>
      <c r="AH83" s="189">
        <f t="shared" si="5"/>
        <v>0</v>
      </c>
    </row>
    <row r="84" spans="1:34" ht="12.75" hidden="1">
      <c r="A84" s="206" t="s">
        <v>1469</v>
      </c>
      <c r="C84" s="182"/>
      <c r="D84" s="190"/>
      <c r="E84" s="182"/>
      <c r="F84" s="182"/>
      <c r="G84" s="182"/>
      <c r="H84" s="182"/>
      <c r="I84" s="182"/>
      <c r="J84" s="182"/>
      <c r="K84" s="182"/>
      <c r="L84" s="191">
        <f>SUM(B84:K84)</f>
        <v>0</v>
      </c>
      <c r="M84" s="186"/>
      <c r="N84" s="186"/>
      <c r="O84" s="187"/>
      <c r="P84" s="187"/>
      <c r="AG84" s="191">
        <f t="shared" si="4"/>
        <v>0</v>
      </c>
      <c r="AH84" s="189">
        <f t="shared" si="5"/>
        <v>0</v>
      </c>
    </row>
    <row r="85" spans="1:34" ht="12.75" hidden="1">
      <c r="A85" s="243" t="s">
        <v>1470</v>
      </c>
      <c r="C85" s="182"/>
      <c r="D85" s="190"/>
      <c r="E85" s="182"/>
      <c r="F85" s="182"/>
      <c r="G85" s="182"/>
      <c r="H85" s="182"/>
      <c r="I85" s="182"/>
      <c r="J85" s="182"/>
      <c r="K85" s="182"/>
      <c r="L85" s="191">
        <f t="shared" si="1"/>
        <v>0</v>
      </c>
      <c r="M85" s="186"/>
      <c r="N85" s="186"/>
      <c r="O85" s="187"/>
      <c r="P85" s="187"/>
      <c r="AG85" s="191">
        <f t="shared" si="4"/>
        <v>0</v>
      </c>
      <c r="AH85" s="189">
        <f t="shared" si="5"/>
        <v>0</v>
      </c>
    </row>
    <row r="86" spans="1:34" ht="12.75" hidden="1">
      <c r="A86" s="244" t="s">
        <v>1471</v>
      </c>
      <c r="C86" s="182"/>
      <c r="D86" s="190"/>
      <c r="E86" s="182"/>
      <c r="F86" s="182"/>
      <c r="G86" s="182"/>
      <c r="H86" s="182"/>
      <c r="I86" s="182"/>
      <c r="J86" s="182"/>
      <c r="K86" s="182"/>
      <c r="L86" s="191">
        <f>SUM(B86:K86)</f>
        <v>0</v>
      </c>
      <c r="M86" s="186"/>
      <c r="N86" s="186"/>
      <c r="O86" s="187"/>
      <c r="P86" s="187"/>
      <c r="AG86" s="191">
        <f t="shared" si="4"/>
        <v>0</v>
      </c>
      <c r="AH86" s="189">
        <f t="shared" si="5"/>
        <v>0</v>
      </c>
    </row>
    <row r="87" spans="3:34" ht="12.75" hidden="1">
      <c r="C87" s="182"/>
      <c r="D87" s="190"/>
      <c r="E87" s="182"/>
      <c r="F87" s="182"/>
      <c r="G87" s="182"/>
      <c r="H87" s="182"/>
      <c r="I87" s="182"/>
      <c r="J87" s="182"/>
      <c r="K87" s="182"/>
      <c r="L87" s="191">
        <f t="shared" si="1"/>
        <v>0</v>
      </c>
      <c r="M87" s="186"/>
      <c r="N87" s="186"/>
      <c r="O87" s="187"/>
      <c r="P87" s="187"/>
      <c r="AG87" s="191">
        <f t="shared" si="4"/>
        <v>0</v>
      </c>
      <c r="AH87" s="189">
        <f t="shared" si="5"/>
        <v>0</v>
      </c>
    </row>
    <row r="88" spans="3:34" ht="12.75" hidden="1">
      <c r="C88" s="182"/>
      <c r="D88" s="190"/>
      <c r="E88" s="182"/>
      <c r="F88" s="182"/>
      <c r="G88" s="182"/>
      <c r="H88" s="182"/>
      <c r="I88" s="182"/>
      <c r="J88" s="182"/>
      <c r="K88" s="182"/>
      <c r="L88" s="191">
        <f t="shared" si="1"/>
        <v>0</v>
      </c>
      <c r="M88" s="186"/>
      <c r="N88" s="186"/>
      <c r="O88" s="187"/>
      <c r="P88" s="187"/>
      <c r="AG88" s="191">
        <f t="shared" si="4"/>
        <v>0</v>
      </c>
      <c r="AH88" s="189">
        <f t="shared" si="5"/>
        <v>0</v>
      </c>
    </row>
    <row r="89" spans="3:34" ht="12.75" hidden="1">
      <c r="C89" s="182"/>
      <c r="D89" s="190"/>
      <c r="E89" s="182"/>
      <c r="F89" s="182"/>
      <c r="G89" s="182"/>
      <c r="H89" s="182"/>
      <c r="I89" s="182"/>
      <c r="J89" s="182"/>
      <c r="K89" s="182"/>
      <c r="L89" s="191">
        <f t="shared" si="1"/>
        <v>0</v>
      </c>
      <c r="M89" s="186"/>
      <c r="N89" s="186"/>
      <c r="O89" s="187"/>
      <c r="P89" s="187"/>
      <c r="AG89" s="191">
        <f t="shared" si="4"/>
        <v>0</v>
      </c>
      <c r="AH89" s="189">
        <f t="shared" si="5"/>
        <v>0</v>
      </c>
    </row>
    <row r="90" spans="3:34" ht="12.75" hidden="1">
      <c r="C90" s="182"/>
      <c r="D90" s="190"/>
      <c r="E90" s="182"/>
      <c r="F90" s="182"/>
      <c r="G90" s="182"/>
      <c r="H90" s="182"/>
      <c r="I90" s="182"/>
      <c r="J90" s="182"/>
      <c r="K90" s="182"/>
      <c r="L90" s="191">
        <f t="shared" si="1"/>
        <v>0</v>
      </c>
      <c r="M90" s="186"/>
      <c r="N90" s="186"/>
      <c r="O90" s="187"/>
      <c r="P90" s="187"/>
      <c r="AG90" s="191">
        <f t="shared" si="4"/>
        <v>0</v>
      </c>
      <c r="AH90" s="189">
        <f t="shared" si="5"/>
        <v>0</v>
      </c>
    </row>
    <row r="91" spans="1:34" ht="12.75" hidden="1">
      <c r="A91" s="244" t="s">
        <v>1472</v>
      </c>
      <c r="C91" s="182"/>
      <c r="D91" s="190"/>
      <c r="E91" s="182"/>
      <c r="F91" s="182"/>
      <c r="G91" s="182"/>
      <c r="H91" s="182"/>
      <c r="I91" s="182"/>
      <c r="J91" s="182"/>
      <c r="K91" s="182"/>
      <c r="L91" s="191">
        <f t="shared" si="1"/>
        <v>0</v>
      </c>
      <c r="M91" s="186"/>
      <c r="N91" s="186"/>
      <c r="O91" s="187"/>
      <c r="P91" s="187"/>
      <c r="AG91" s="191">
        <f t="shared" si="4"/>
        <v>0</v>
      </c>
      <c r="AH91" s="189">
        <f t="shared" si="5"/>
        <v>0</v>
      </c>
    </row>
    <row r="92" spans="1:34" ht="12.75" hidden="1">
      <c r="A92" s="244" t="s">
        <v>1473</v>
      </c>
      <c r="C92" s="182"/>
      <c r="D92" s="190"/>
      <c r="E92" s="182"/>
      <c r="F92" s="182"/>
      <c r="G92" s="182"/>
      <c r="H92" s="182"/>
      <c r="I92" s="182"/>
      <c r="J92" s="182"/>
      <c r="K92" s="182"/>
      <c r="L92" s="191">
        <f t="shared" si="1"/>
        <v>0</v>
      </c>
      <c r="M92" s="186"/>
      <c r="N92" s="186"/>
      <c r="O92" s="187"/>
      <c r="P92" s="187"/>
      <c r="AG92" s="191">
        <f t="shared" si="4"/>
        <v>0</v>
      </c>
      <c r="AH92" s="189">
        <f t="shared" si="5"/>
        <v>0</v>
      </c>
    </row>
    <row r="93" spans="1:34" ht="12.75">
      <c r="A93" s="244" t="s">
        <v>1474</v>
      </c>
      <c r="C93" s="182"/>
      <c r="D93" s="183">
        <f>46500+9/9*46500+12/12*46500</f>
        <v>139500</v>
      </c>
      <c r="E93" s="182"/>
      <c r="F93" s="182"/>
      <c r="G93" s="182"/>
      <c r="H93" s="182"/>
      <c r="I93" s="182"/>
      <c r="J93" s="182"/>
      <c r="K93" s="182"/>
      <c r="L93" s="184">
        <f t="shared" si="1"/>
        <v>139500</v>
      </c>
      <c r="M93" s="186"/>
      <c r="N93" s="186"/>
      <c r="O93" s="187"/>
      <c r="P93" s="187"/>
      <c r="U93" s="245">
        <f>5/5*24100*0+12/12*40100</f>
        <v>40100</v>
      </c>
      <c r="AF93" s="245">
        <f>39498/39498*(168+168*12/12)+47798/47798*(1388*0+12/12*1943)+52398/52398*-42436.35+138405/138405*(6536.85*0+12/12*10206.65)+146505/146505*100*0*12/12+157206/157206*-78.75+12/12*(6002/6002*165+6004/6004*13500)+(AG98-U98-S98)*0</f>
        <v>-16364.449999999997</v>
      </c>
      <c r="AG93" s="184">
        <f>SUM(Q93:AF93)</f>
        <v>23735.550000000003</v>
      </c>
      <c r="AH93" s="189">
        <f t="shared" si="5"/>
        <v>115764.45</v>
      </c>
    </row>
    <row r="94" spans="1:34" ht="12.75" hidden="1">
      <c r="A94" s="244" t="s">
        <v>1475</v>
      </c>
      <c r="C94" s="182"/>
      <c r="D94" s="190"/>
      <c r="E94" s="182"/>
      <c r="F94" s="182"/>
      <c r="G94" s="182"/>
      <c r="H94" s="182"/>
      <c r="I94" s="182"/>
      <c r="J94" s="182"/>
      <c r="K94" s="182"/>
      <c r="L94" s="191">
        <f t="shared" si="1"/>
        <v>0</v>
      </c>
      <c r="M94" s="186"/>
      <c r="N94" s="186"/>
      <c r="O94" s="187"/>
      <c r="P94" s="187"/>
      <c r="AG94" s="191">
        <f t="shared" si="4"/>
        <v>0</v>
      </c>
      <c r="AH94" s="189">
        <f t="shared" si="5"/>
        <v>0</v>
      </c>
    </row>
    <row r="95" spans="1:34" ht="12.75" hidden="1">
      <c r="A95" s="244" t="s">
        <v>1476</v>
      </c>
      <c r="C95" s="182"/>
      <c r="D95" s="190"/>
      <c r="E95" s="182"/>
      <c r="F95" s="182"/>
      <c r="G95" s="182"/>
      <c r="H95" s="182"/>
      <c r="I95" s="182"/>
      <c r="J95" s="182"/>
      <c r="K95" s="182"/>
      <c r="L95" s="191">
        <f>SUM(B95:K95)</f>
        <v>0</v>
      </c>
      <c r="M95" s="186"/>
      <c r="N95" s="186"/>
      <c r="O95" s="187"/>
      <c r="P95" s="187"/>
      <c r="U95" s="193"/>
      <c r="V95" s="193"/>
      <c r="AG95" s="191">
        <f t="shared" si="4"/>
        <v>0</v>
      </c>
      <c r="AH95" s="189">
        <f>L95-AG95</f>
        <v>0</v>
      </c>
    </row>
    <row r="96" spans="1:34" ht="12.75" hidden="1">
      <c r="A96" s="244" t="s">
        <v>1477</v>
      </c>
      <c r="C96" s="182">
        <f>12/12*8124.67*0</f>
        <v>0</v>
      </c>
      <c r="D96" s="190"/>
      <c r="E96" s="182"/>
      <c r="F96" s="182"/>
      <c r="G96" s="182"/>
      <c r="H96" s="182"/>
      <c r="I96" s="182"/>
      <c r="J96" s="182"/>
      <c r="K96" s="182"/>
      <c r="L96" s="191">
        <f>SUM(B96:K96)</f>
        <v>0</v>
      </c>
      <c r="M96" s="22"/>
      <c r="N96" s="186"/>
      <c r="O96" s="187"/>
      <c r="P96" s="187"/>
      <c r="U96" s="193"/>
      <c r="V96" s="193"/>
      <c r="AG96" s="191">
        <f t="shared" si="4"/>
        <v>0</v>
      </c>
      <c r="AH96" s="189">
        <f>L96-AG96</f>
        <v>0</v>
      </c>
    </row>
    <row r="97" spans="1:34" s="238" customFormat="1" ht="12.75" hidden="1">
      <c r="A97" s="237" t="s">
        <v>1478</v>
      </c>
      <c r="C97" s="22"/>
      <c r="D97" s="241"/>
      <c r="E97" s="22"/>
      <c r="F97" s="22"/>
      <c r="G97" s="22"/>
      <c r="H97" s="22"/>
      <c r="I97" s="22"/>
      <c r="J97" s="108"/>
      <c r="K97" s="22"/>
      <c r="L97" s="191">
        <f>SUM(B97:K97)</f>
        <v>0</v>
      </c>
      <c r="M97" s="186"/>
      <c r="N97" s="186"/>
      <c r="O97" s="236" t="e">
        <f>D98-O98</f>
        <v>#VALUE!</v>
      </c>
      <c r="P97" s="246" t="s">
        <v>1479</v>
      </c>
      <c r="Q97" s="10"/>
      <c r="R97" s="10"/>
      <c r="S97" s="188"/>
      <c r="T97" s="10"/>
      <c r="U97" s="10"/>
      <c r="V97" s="10"/>
      <c r="W97" s="188"/>
      <c r="X97" s="10"/>
      <c r="Y97" s="10"/>
      <c r="Z97" s="10"/>
      <c r="AA97" s="10"/>
      <c r="AB97" s="10"/>
      <c r="AC97" s="10"/>
      <c r="AD97" s="188"/>
      <c r="AE97" s="188"/>
      <c r="AF97" s="10"/>
      <c r="AG97" s="191">
        <f t="shared" si="4"/>
        <v>0</v>
      </c>
      <c r="AH97" s="189">
        <f>L97-AG97</f>
        <v>0</v>
      </c>
    </row>
    <row r="98" spans="1:34" ht="32.25">
      <c r="A98" s="247" t="s">
        <v>1480</v>
      </c>
      <c r="C98" s="182">
        <f>2667/2667*1660+2668/2668*70300+6/6*270412/270412*(2000+12/12*3000)+8/8*272812/272812*24545+9/9*(277512/277512*20000+15092012/15092012*8124.67)+10/10*279912/279912*3067</f>
        <v>132696.66999999998</v>
      </c>
      <c r="D98" s="190">
        <f>(618447.99*0+4/4*908344.49+5/5*18314+6/6*66814+7/7*289896.5+8/8*18314)*0+9/9*(36198/36198*(248269.5*0+10/10*337315)+49498/49498*(164003.25*0+10/10*222826)+84101/84101*182565+86101/86101*26000+163406/163406*(164826*0+10/10*183140*0+12/12*219768)+176207/176207*1500+189408/189408*(402474.75*0+10/10*546829)+227310/227310*87347+253911/253911*60000+269212/269212*60750+273912/273912*46500+6001/6001*249.99)+10/10*(278912/278912*30000+279312/279312*20000+279612/279612*10000+12/12*(279512/279512*1666+283512/283512*12499.5)+284812/284812*7986.35)</f>
        <v>1873801.84</v>
      </c>
      <c r="E98" s="182"/>
      <c r="F98" s="182"/>
      <c r="G98" s="182"/>
      <c r="H98" s="182"/>
      <c r="I98" s="182">
        <f>9/9*270412/270412*3000</f>
        <v>3000</v>
      </c>
      <c r="J98" s="190"/>
      <c r="K98" s="182"/>
      <c r="L98" s="184">
        <f>SUM(B98:K98)</f>
        <v>2009498.51</v>
      </c>
      <c r="M98" s="186"/>
      <c r="N98" s="186"/>
      <c r="O98" s="236" t="e">
        <f>N45*0+O73+N48</f>
        <v>#VALUE!</v>
      </c>
      <c r="P98" s="246" t="s">
        <v>1481</v>
      </c>
      <c r="S98" s="188">
        <f>8/8*11001600/11001600*8415</f>
        <v>8415</v>
      </c>
      <c r="U98" s="188">
        <f>253911/253911*4984+4/4*84101/84101*4255+5/5*6/6*1090*0+12/12*(36198/36198*94908+170306/170306*31018)</f>
        <v>135165</v>
      </c>
      <c r="W98" s="188">
        <f>6005/6005*6444</f>
        <v>6444</v>
      </c>
      <c r="AD98" s="188">
        <f>146505/146505*100+(67199/67199*1500+6/6*432011/432011*3600+9/9*(68799/68799*3600+1412011/1412011*2800)+10/10*12574/12574*3600*0*11/11)*0</f>
        <v>100</v>
      </c>
      <c r="AF98" s="198">
        <f>557/557*12/12*(2010/2010*6962+2011/2011*1364)+557/557*6004/6004*1957.5</f>
        <v>10283.5</v>
      </c>
      <c r="AG98" s="184">
        <f>SUM(Q98:AF98)</f>
        <v>160407.5</v>
      </c>
      <c r="AH98" s="189">
        <f t="shared" si="5"/>
        <v>1849091.01</v>
      </c>
    </row>
    <row r="99" spans="3:34" ht="12.75">
      <c r="C99" s="221">
        <f aca="true" t="shared" si="6" ref="C99:L99">SUM(C3:C98)</f>
        <v>2395881.17</v>
      </c>
      <c r="D99" s="221">
        <f t="shared" si="6"/>
        <v>21427915.03</v>
      </c>
      <c r="E99" s="221">
        <f t="shared" si="6"/>
        <v>34201.96000245614</v>
      </c>
      <c r="F99" s="221">
        <f t="shared" si="6"/>
        <v>0</v>
      </c>
      <c r="G99" s="221">
        <f t="shared" si="6"/>
        <v>34911</v>
      </c>
      <c r="H99" s="221">
        <f t="shared" si="6"/>
        <v>0</v>
      </c>
      <c r="I99" s="221">
        <f t="shared" si="6"/>
        <v>-1490347.1300000004</v>
      </c>
      <c r="J99" s="221">
        <f t="shared" si="6"/>
        <v>697172.64</v>
      </c>
      <c r="K99" s="221">
        <f t="shared" si="6"/>
        <v>122900.400000008</v>
      </c>
      <c r="L99" s="191">
        <f t="shared" si="6"/>
        <v>23222635.070002466</v>
      </c>
      <c r="M99" s="186"/>
      <c r="N99" s="186"/>
      <c r="O99" s="187">
        <f>123/123*(421975+423119-219515/(1+0.09+0.25)*0-(16105+7130+34741+15613+18606+18079+14335+14636+16044+17062/2))+456/456*(458173+403238-217658/(1+0.09+0.25)*0-(15705+7557+710+34071+15213+18774+709+17679+15206+15326+16044+5432/2*2))-X99</f>
        <v>-1660474</v>
      </c>
      <c r="P99" s="187">
        <f>123/123*(142650+142334-(5476+2426+11811+5310+6326+6148+4873+4975+5451+5798/2))+456/456*(154974+133485-(5340+2569+(243/2+0.5)+11586+5174+6381+244+6014+5171+5213+5451+1846/2*2))-Y99</f>
        <v>-530375</v>
      </c>
      <c r="Q99" s="221">
        <f>SUM(Q3:Q98)</f>
        <v>115367.32</v>
      </c>
      <c r="R99" s="221"/>
      <c r="S99" s="221">
        <f>SUM(S3:S98)</f>
        <v>869014.14</v>
      </c>
      <c r="T99" s="221">
        <f>SUM(T3:T98)</f>
        <v>0</v>
      </c>
      <c r="U99" s="221">
        <f>SUM(U3:U98)</f>
        <v>3741763.2</v>
      </c>
      <c r="V99" s="221"/>
      <c r="W99" s="221">
        <f>SUM(W3:W98)</f>
        <v>2046167.8199999998</v>
      </c>
      <c r="X99" s="221">
        <f>SUM(X3:X98)</f>
        <v>3040733</v>
      </c>
      <c r="Y99" s="221">
        <f>SUM(Y3:Y98)</f>
        <v>993012</v>
      </c>
      <c r="Z99" s="221"/>
      <c r="AA99" s="221">
        <f aca="true" t="shared" si="7" ref="AA99:AH99">SUM(AA3:AA98)</f>
        <v>254083</v>
      </c>
      <c r="AB99" s="191">
        <f t="shared" si="7"/>
        <v>0</v>
      </c>
      <c r="AC99" s="191">
        <f t="shared" si="7"/>
        <v>0</v>
      </c>
      <c r="AD99" s="221">
        <f t="shared" si="7"/>
        <v>285872.37</v>
      </c>
      <c r="AE99" s="221">
        <f t="shared" si="7"/>
        <v>107833</v>
      </c>
      <c r="AF99" s="221">
        <f t="shared" si="7"/>
        <v>-4504.799999999997</v>
      </c>
      <c r="AG99" s="191">
        <f>SUM(Q99:AF99)</f>
        <v>11449341.049999999</v>
      </c>
      <c r="AH99" s="221">
        <f t="shared" si="7"/>
        <v>11773294.020002462</v>
      </c>
    </row>
    <row r="100" spans="1:34" s="222" customFormat="1" ht="11.25">
      <c r="A100" s="248"/>
      <c r="C100" s="10">
        <f>3/3*702116.49*0+4/4*882149.81*0+5/5*1045150.45*0+6/6*1279112.2*0+7/7*1393771.41*0+8/8*1538720.25*0+9/9*1703235.82*0+10/10*1916792.03*0+12/12*2395881.17-C99</f>
        <v>0</v>
      </c>
      <c r="D100" s="10">
        <f>3/3*5694819.43*0+4/4*7607977.27*0+5/5*9123815.33*0+6/6*10716912.83*0+7/7*12659043.9*0+8/8*14133574.15*0+9/9*16041618.76*0+10/10*18135316.14*0+12/12*21427915.03-D99</f>
        <v>0</v>
      </c>
      <c r="E100" s="225">
        <f>3/3*11114.12*0+4/4*16684.31*0+5/5*18219.41*0+6/6*23254.52*0+7/7*23561.54*0+8/8*26017.7*0+9/9*27447.54*0+10/10*30280.88*0+12/12*34201.96-E99</f>
        <v>-2.456137735862285E-06</v>
      </c>
      <c r="F100" s="225">
        <f>0-F99</f>
        <v>0</v>
      </c>
      <c r="G100" s="225">
        <f>641/641*(3/3*15213*0+4/4*15610*0+5/5*22107*0+6/6*22787*0+7/7*24051*0+8/8*27923*0+9/9*28795*0+10/10*29667*0+12/12*32911)+642/642*(3/3*2000)-G99</f>
        <v>0</v>
      </c>
      <c r="H100" s="225"/>
      <c r="I100" s="225">
        <f>3/3*116164.47*0+4/4*116956.8*0+5/5*117170.41*0+6/6*354193.19*0+7/7*354485.57*0+8/8*576487.46*0+9/9*1230809.26*0+10/10*1210421.89*0+12/12*-1490347.13+0-I99</f>
        <v>0</v>
      </c>
      <c r="J100" s="225">
        <f>646/646*(3/3*341.64)+647/647*5/5*332880*0+6/6*343605*0+7/7*479121*0+9/9*642141*0+10/10*604261*0+12/12*696831-J99</f>
        <v>0</v>
      </c>
      <c r="K100" s="225">
        <f>662/662*3/3*28012.06*0+6/6*58044.05*0+9/9*86978.93*0+12/12*122900.4-K99</f>
        <v>-8.003553375601768E-09</v>
      </c>
      <c r="L100" s="249">
        <f>3/3*6569781.21*0+4/4*8669731.89*0+5/5*10689696.3*0+6/6*12800250.43*0+7/7*14994420.11*0+8/8*16842229.25*0+9/9*19763367.95*0+10/10*22016059.51*0+12/12*23222635.07-L99</f>
        <v>-2.466142177581787E-06</v>
      </c>
      <c r="M100" s="250"/>
      <c r="N100" s="250"/>
      <c r="O100" s="205">
        <f>O21+O31</f>
        <v>-410385</v>
      </c>
      <c r="P100" s="205">
        <f>P21+P31</f>
        <v>-134863</v>
      </c>
      <c r="Q100" s="249">
        <f>46931.69*0+4/4*57680.2*0+6/6*67815.42*0+7/7*68064.59*0+8/8*72528.59*0+9/9*73656.92*0+10/10*82238.42*0+12/12*115367.32-Q99</f>
        <v>0</v>
      </c>
      <c r="R100" s="249"/>
      <c r="S100" s="249">
        <f>14725*0+4/4*14638*0+7/7*19618*0+8/8*768111.63*9/9*0+10/10*853065.81*0+12/12*869014.14-S99</f>
        <v>0</v>
      </c>
      <c r="T100" s="249"/>
      <c r="U100" s="249">
        <f>511/511*(537043.8*0+4/4*1167183.8*0+6/6*1620426.46*0+7/7*1653146.32*0+8/8*1999994.15*0+9/9*2308619.16*0+10/10*2559800.16*0+12/12*3741763.2)-U99</f>
        <v>0</v>
      </c>
      <c r="V100" s="249"/>
      <c r="W100" s="249">
        <f>398575.76*0+4/4*543711.79*0+6/6*793477.49*0+7/7*952500.44*0+8/8*1240064.69*0+9/9*1410426.33*0+10/10*1553115.52*0+12/12*2046167.82-W99</f>
        <v>0</v>
      </c>
      <c r="X100" s="249">
        <f>6/6*988343*0+9/9*1674834*0+10/10*2015177*0+12/12*3040733-X99</f>
        <v>0</v>
      </c>
      <c r="Y100" s="249">
        <f>6/6*324087*0+9/9*549776*0+10/10*662445*0+12/12*993012-Y99</f>
        <v>0</v>
      </c>
      <c r="Z100" s="249"/>
      <c r="AA100" s="249">
        <f>81627*0+4/4*111633*0+7/7*178000*0+9/9*187174*0+12/12*252637+532/532*6/6*1446-AA99</f>
        <v>0</v>
      </c>
      <c r="AB100" s="249"/>
      <c r="AC100" s="249"/>
      <c r="AD100" s="249">
        <f>549/549*(101.46*0+4/4*102.65*0+6/6*102.85*0+7/7*103.95*0+8/8*295103.77*0+9/9*376614.07*0+10/10*376613.77*0+12/12*285872.37)-AD99</f>
        <v>0</v>
      </c>
      <c r="AE100" s="249">
        <f>554/554*103120*0+8/8*104593*0+9/9*109153*0+10/10*107833-AE99</f>
        <v>0</v>
      </c>
      <c r="AF100" s="249">
        <f>556/556*(-51.9*0+4/4*-42488.25*0+6/6*-33347.8*0+7/7*-33399.7*0+9/9*-33827.2*0+12/12*-14788.3)+557/557*9/9*1957.5*0+12/12*10283.5-AF99</f>
        <v>0</v>
      </c>
      <c r="AG100" s="249">
        <f>3/3*1078952.81*0+4/4*1852461.19*0+6/6*3991741.42*0+7/7*4255029.6*0+8/8*5938872.13*0+9/9*7427941.41*0+10/10*8367038.98*0+12/12*11449341.05-AG99</f>
        <v>0</v>
      </c>
      <c r="AH100" s="251">
        <f>L99-AG102</f>
        <v>11773294.020002464</v>
      </c>
    </row>
    <row r="101" spans="1:34" s="222" customFormat="1" ht="12.75">
      <c r="A101" s="248"/>
      <c r="C101" s="225"/>
      <c r="D101" s="225"/>
      <c r="E101" s="225"/>
      <c r="F101" s="225"/>
      <c r="G101" s="252" t="s">
        <v>1482</v>
      </c>
      <c r="H101" s="188"/>
      <c r="I101" s="10">
        <v>-2761636.87</v>
      </c>
      <c r="J101" s="225"/>
      <c r="K101" s="225"/>
      <c r="L101" s="249">
        <f>SUM(C100:K100)</f>
        <v>-2.4641412892378867E-06</v>
      </c>
      <c r="M101" s="250"/>
      <c r="N101" s="250"/>
      <c r="O101" s="205">
        <f>O100-O99</f>
        <v>1250089</v>
      </c>
      <c r="P101" s="205">
        <f>P100-P99</f>
        <v>395512</v>
      </c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49">
        <f>SUM(Q100:AF100)</f>
        <v>0</v>
      </c>
      <c r="AH101" s="249">
        <f>AH99-AG101</f>
        <v>11773294.020002462</v>
      </c>
    </row>
    <row r="102" spans="33:34" ht="12.75">
      <c r="AG102" s="191">
        <f>SUM(AG3:AG98)</f>
        <v>11449341.050000003</v>
      </c>
      <c r="AH102" s="249">
        <f>3/3*1078952.81*0+4/4*1852461.19*0+6/6*3991741.42*0+7/7*4255029.6*0+8/8*5938872.13*0+9/9*7427941.41*0+10/10*8367038.98*0+12/12*11449341.05-AG102</f>
        <v>0</v>
      </c>
    </row>
  </sheetData>
  <mergeCells count="2">
    <mergeCell ref="C1:L1"/>
    <mergeCell ref="Q1:AG1"/>
  </mergeCells>
  <printOptions gridLines="1"/>
  <pageMargins left="0.3937007874015748" right="0.3937007874015748" top="0.5905511811023623" bottom="0.5905511811023623" header="0.31496062992125984" footer="0.31496062992125984"/>
  <pageSetup horizontalDpi="200" verticalDpi="200" orientation="landscape" paperSize="9" scale="65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B12" sqref="B12"/>
    </sheetView>
  </sheetViews>
  <sheetFormatPr defaultColWidth="9.140625" defaultRowHeight="12.75"/>
  <cols>
    <col min="1" max="1" width="7.140625" style="0" customWidth="1"/>
    <col min="2" max="2" width="60.57421875" style="0" customWidth="1"/>
    <col min="3" max="3" width="16.7109375" style="318" customWidth="1"/>
  </cols>
  <sheetData>
    <row r="1" spans="1:3" ht="16.5">
      <c r="A1" s="253" t="s">
        <v>1483</v>
      </c>
      <c r="C1" s="254" t="s">
        <v>1484</v>
      </c>
    </row>
    <row r="2" spans="1:3" ht="15.75">
      <c r="A2" s="253"/>
      <c r="C2" s="254"/>
    </row>
    <row r="3" spans="2:3" ht="12.75">
      <c r="B3" s="255" t="s">
        <v>1485</v>
      </c>
      <c r="C3" s="256"/>
    </row>
    <row r="4" spans="2:3" ht="12.75">
      <c r="B4" s="257" t="s">
        <v>1486</v>
      </c>
      <c r="C4" s="256"/>
    </row>
    <row r="5" spans="2:3" ht="13.5" thickBot="1">
      <c r="B5" s="258"/>
      <c r="C5" s="256"/>
    </row>
    <row r="6" spans="1:3" s="262" customFormat="1" ht="12.75">
      <c r="A6" s="259" t="s">
        <v>1487</v>
      </c>
      <c r="B6" s="260" t="s">
        <v>1488</v>
      </c>
      <c r="C6" s="261" t="s">
        <v>1489</v>
      </c>
    </row>
    <row r="7" spans="1:3" s="262" customFormat="1" ht="13.5" thickBot="1">
      <c r="A7" s="263" t="s">
        <v>1490</v>
      </c>
      <c r="B7" s="264"/>
      <c r="C7" s="265" t="s">
        <v>1491</v>
      </c>
    </row>
    <row r="8" spans="1:3" ht="13.5" thickTop="1">
      <c r="A8" s="266"/>
      <c r="B8" s="266"/>
      <c r="C8" s="267"/>
    </row>
    <row r="9" spans="1:3" s="270" customFormat="1" ht="12">
      <c r="A9" s="268" t="s">
        <v>1492</v>
      </c>
      <c r="B9" s="268" t="s">
        <v>1493</v>
      </c>
      <c r="C9" s="269"/>
    </row>
    <row r="10" spans="1:3" s="270" customFormat="1" ht="12">
      <c r="A10" s="268"/>
      <c r="B10" s="268" t="s">
        <v>1494</v>
      </c>
      <c r="C10" s="269">
        <f>4440/4440*5493578.73</f>
        <v>5493578.73</v>
      </c>
    </row>
    <row r="11" spans="1:3" s="270" customFormat="1" ht="12">
      <c r="A11" s="268"/>
      <c r="B11" s="268" t="s">
        <v>1495</v>
      </c>
      <c r="C11" s="269"/>
    </row>
    <row r="12" spans="1:3" s="270" customFormat="1" ht="12">
      <c r="A12" s="268" t="s">
        <v>1496</v>
      </c>
      <c r="B12" s="268" t="s">
        <v>1497</v>
      </c>
      <c r="C12" s="269">
        <f>107/107*225762.42+1222/1222*50662.72</f>
        <v>276425.14</v>
      </c>
    </row>
    <row r="13" spans="1:3" s="270" customFormat="1" ht="12.75" thickBot="1">
      <c r="A13" s="271"/>
      <c r="B13" s="271" t="s">
        <v>1498</v>
      </c>
      <c r="C13" s="272">
        <f>50662.72</f>
        <v>50662.72</v>
      </c>
    </row>
    <row r="14" spans="1:3" ht="13.5" thickTop="1">
      <c r="A14" s="273"/>
      <c r="B14" s="274"/>
      <c r="C14" s="275"/>
    </row>
    <row r="15" spans="1:3" ht="12.75">
      <c r="A15" s="273"/>
      <c r="B15" s="276" t="s">
        <v>1499</v>
      </c>
      <c r="C15" s="275"/>
    </row>
    <row r="16" spans="1:3" ht="12.75">
      <c r="A16" s="277"/>
      <c r="B16" s="277"/>
      <c r="C16" s="278"/>
    </row>
    <row r="17" spans="1:3" ht="12.75">
      <c r="A17" s="279" t="s">
        <v>1500</v>
      </c>
      <c r="B17" s="276" t="s">
        <v>1501</v>
      </c>
      <c r="C17" s="278">
        <f>SUM(C18:C21)</f>
        <v>9772.599999999977</v>
      </c>
    </row>
    <row r="18" spans="1:3" s="270" customFormat="1" ht="12">
      <c r="A18" s="280"/>
      <c r="B18" s="281" t="s">
        <v>1502</v>
      </c>
      <c r="C18" s="269"/>
    </row>
    <row r="19" spans="1:3" s="270" customFormat="1" ht="24">
      <c r="A19" s="282"/>
      <c r="B19" s="283" t="s">
        <v>1503</v>
      </c>
      <c r="C19" s="284">
        <f>1846134.87-1634351-211783.87</f>
        <v>0</v>
      </c>
    </row>
    <row r="20" spans="1:3" s="270" customFormat="1" ht="12">
      <c r="A20" s="282"/>
      <c r="B20" s="283" t="s">
        <v>1504</v>
      </c>
      <c r="C20" s="284">
        <f>265772.6-256000</f>
        <v>9772.599999999977</v>
      </c>
    </row>
    <row r="21" spans="1:3" s="270" customFormat="1" ht="12">
      <c r="A21" s="282"/>
      <c r="B21" s="285" t="s">
        <v>1505</v>
      </c>
      <c r="C21" s="286"/>
    </row>
    <row r="22" spans="1:3" ht="12.75">
      <c r="A22" s="287"/>
      <c r="B22" s="288"/>
      <c r="C22" s="278"/>
    </row>
    <row r="23" spans="1:3" ht="12.75">
      <c r="A23" s="289" t="s">
        <v>1506</v>
      </c>
      <c r="B23" s="289" t="s">
        <v>1507</v>
      </c>
      <c r="C23" s="278">
        <f>SUM(C24:C27)</f>
        <v>0</v>
      </c>
    </row>
    <row r="24" spans="1:3" s="270" customFormat="1" ht="12.75" customHeight="1">
      <c r="A24" s="282"/>
      <c r="B24" s="282" t="s">
        <v>1508</v>
      </c>
      <c r="C24" s="269"/>
    </row>
    <row r="25" spans="1:3" s="270" customFormat="1" ht="12">
      <c r="A25" s="282"/>
      <c r="B25" s="290" t="s">
        <v>1509</v>
      </c>
      <c r="C25" s="269"/>
    </row>
    <row r="26" spans="1:3" s="270" customFormat="1" ht="12.75" customHeight="1">
      <c r="A26" s="282"/>
      <c r="B26" s="291" t="s">
        <v>1510</v>
      </c>
      <c r="C26" s="292"/>
    </row>
    <row r="27" spans="1:3" s="295" customFormat="1" ht="12.75" customHeight="1">
      <c r="A27" s="293"/>
      <c r="B27" s="294" t="s">
        <v>1511</v>
      </c>
      <c r="C27" s="292"/>
    </row>
    <row r="28" spans="1:3" ht="13.5" thickBot="1">
      <c r="A28" s="296"/>
      <c r="B28" s="273"/>
      <c r="C28" s="278"/>
    </row>
    <row r="29" spans="1:3" ht="14.25" thickBot="1" thickTop="1">
      <c r="A29" s="297" t="s">
        <v>1512</v>
      </c>
      <c r="B29" s="297" t="s">
        <v>1513</v>
      </c>
      <c r="C29" s="298">
        <f>SUM(C17,C23)</f>
        <v>9772.599999999977</v>
      </c>
    </row>
    <row r="30" spans="1:3" ht="13.5" thickTop="1">
      <c r="A30" s="299"/>
      <c r="B30" s="300"/>
      <c r="C30" s="301"/>
    </row>
    <row r="31" spans="1:3" ht="12.75">
      <c r="A31" s="302"/>
      <c r="B31" s="303" t="s">
        <v>1514</v>
      </c>
      <c r="C31" s="278"/>
    </row>
    <row r="32" spans="1:3" ht="12.75">
      <c r="A32" s="302"/>
      <c r="B32" s="277"/>
      <c r="C32" s="278"/>
    </row>
    <row r="33" spans="1:3" ht="12.75">
      <c r="A33" s="304" t="s">
        <v>1515</v>
      </c>
      <c r="B33" s="303" t="s">
        <v>1516</v>
      </c>
      <c r="C33" s="278">
        <f>SUM(C34:C39)</f>
        <v>7210</v>
      </c>
    </row>
    <row r="34" spans="1:3" s="270" customFormat="1" ht="12">
      <c r="A34" s="305"/>
      <c r="B34" s="280" t="s">
        <v>1517</v>
      </c>
      <c r="C34" s="269"/>
    </row>
    <row r="35" spans="1:3" s="270" customFormat="1" ht="12">
      <c r="A35" s="305"/>
      <c r="B35" s="290" t="s">
        <v>1518</v>
      </c>
      <c r="C35" s="269"/>
    </row>
    <row r="36" spans="1:3" s="270" customFormat="1" ht="12">
      <c r="A36" s="306"/>
      <c r="B36" s="307" t="s">
        <v>1519</v>
      </c>
      <c r="C36" s="308"/>
    </row>
    <row r="37" spans="1:3" s="270" customFormat="1" ht="12">
      <c r="A37" s="306"/>
      <c r="B37" s="307" t="s">
        <v>1504</v>
      </c>
      <c r="C37" s="308"/>
    </row>
    <row r="38" spans="1:3" s="270" customFormat="1" ht="12">
      <c r="A38" s="306"/>
      <c r="B38" s="290" t="s">
        <v>1505</v>
      </c>
      <c r="C38" s="308"/>
    </row>
    <row r="39" spans="1:3" s="270" customFormat="1" ht="12">
      <c r="A39" s="305"/>
      <c r="B39" s="309" t="s">
        <v>1520</v>
      </c>
      <c r="C39" s="269">
        <f>14004/14004*7210-0</f>
        <v>7210</v>
      </c>
    </row>
    <row r="40" spans="1:3" ht="12.75">
      <c r="A40" s="302"/>
      <c r="B40" s="277"/>
      <c r="C40" s="278"/>
    </row>
    <row r="41" spans="1:3" ht="12.75">
      <c r="A41" s="310" t="s">
        <v>1521</v>
      </c>
      <c r="B41" s="303" t="s">
        <v>1522</v>
      </c>
      <c r="C41" s="278">
        <f>SUM(C42:C45)</f>
        <v>154890.2000000002</v>
      </c>
    </row>
    <row r="42" spans="1:6" s="270" customFormat="1" ht="12.75">
      <c r="A42" s="305"/>
      <c r="B42" s="268" t="s">
        <v>1523</v>
      </c>
      <c r="C42" s="269">
        <f>4000000-4000000+81/81*(4782290-4734162*0-4703563.8*0-4627929.8-(36620+11508)*0)+91/91*(605900-605900)+96/96*(544200-544200)</f>
        <v>154360.2000000002</v>
      </c>
      <c r="E42"/>
      <c r="F42"/>
    </row>
    <row r="43" spans="1:6" s="270" customFormat="1" ht="12.75">
      <c r="A43" s="305"/>
      <c r="B43" s="309" t="s">
        <v>1524</v>
      </c>
      <c r="C43" s="269">
        <f>2707570.8-2707570.8</f>
        <v>0</v>
      </c>
      <c r="E43"/>
      <c r="F43"/>
    </row>
    <row r="44" spans="1:6" s="270" customFormat="1" ht="12.75">
      <c r="A44" s="305"/>
      <c r="B44" s="309" t="s">
        <v>1525</v>
      </c>
      <c r="C44" s="269"/>
      <c r="E44"/>
      <c r="F44"/>
    </row>
    <row r="45" spans="1:3" s="270" customFormat="1" ht="12">
      <c r="A45" s="305"/>
      <c r="B45" s="309" t="s">
        <v>1526</v>
      </c>
      <c r="C45" s="269">
        <f>1341/1341*340486*25%-84659+1342/1342*(20415*50%-10140)</f>
        <v>530</v>
      </c>
    </row>
    <row r="46" spans="1:8" ht="13.5" thickBot="1">
      <c r="A46" s="277"/>
      <c r="B46" s="277"/>
      <c r="C46" s="278"/>
      <c r="E46" s="270"/>
      <c r="F46" s="270"/>
      <c r="G46" s="270"/>
      <c r="H46" s="270"/>
    </row>
    <row r="47" spans="1:3" ht="14.25" thickBot="1" thickTop="1">
      <c r="A47" s="311" t="s">
        <v>1527</v>
      </c>
      <c r="B47" s="311" t="s">
        <v>1528</v>
      </c>
      <c r="C47" s="312">
        <f>SUM(C33,C41)</f>
        <v>162100.2000000002</v>
      </c>
    </row>
    <row r="48" spans="1:3" ht="14.25" thickBot="1" thickTop="1">
      <c r="A48" s="313" t="s">
        <v>1529</v>
      </c>
      <c r="B48" s="313" t="s">
        <v>1530</v>
      </c>
      <c r="C48" s="298">
        <f>SUM(C29-C47)</f>
        <v>-152327.6000000002</v>
      </c>
    </row>
    <row r="49" spans="1:3" s="270" customFormat="1" ht="12.75" thickTop="1">
      <c r="A49" s="268" t="s">
        <v>1531</v>
      </c>
      <c r="B49" s="268" t="s">
        <v>1532</v>
      </c>
      <c r="C49" s="286"/>
    </row>
    <row r="50" spans="1:3" s="270" customFormat="1" ht="12">
      <c r="A50" s="268"/>
      <c r="B50" s="268" t="s">
        <v>1533</v>
      </c>
      <c r="C50" s="286"/>
    </row>
    <row r="51" spans="1:3" s="270" customFormat="1" ht="12">
      <c r="A51" s="268"/>
      <c r="B51" s="268" t="s">
        <v>1534</v>
      </c>
      <c r="C51" s="269"/>
    </row>
    <row r="52" spans="1:3" s="270" customFormat="1" ht="12">
      <c r="A52" s="268"/>
      <c r="B52" s="268" t="s">
        <v>1535</v>
      </c>
      <c r="C52" s="269"/>
    </row>
    <row r="53" spans="1:3" s="270" customFormat="1" ht="12">
      <c r="A53" s="268"/>
      <c r="B53" s="314" t="s">
        <v>1536</v>
      </c>
      <c r="C53" s="269"/>
    </row>
    <row r="54" spans="1:3" s="270" customFormat="1" ht="12.75" thickBot="1">
      <c r="A54" s="315"/>
      <c r="B54" s="316" t="s">
        <v>1537</v>
      </c>
      <c r="C54" s="317"/>
    </row>
    <row r="57" spans="1:3" ht="12.75">
      <c r="A57" s="319" t="s">
        <v>1538</v>
      </c>
      <c r="C57" s="320" t="s">
        <v>1539</v>
      </c>
    </row>
  </sheetData>
  <printOptions/>
  <pageMargins left="0.7874015748031497" right="0.3937007874015748" top="0.5905511811023623" bottom="0.5905511811023623" header="0.31496062992125984" footer="0.31496062992125984"/>
  <pageSetup horizontalDpi="200" verticalDpi="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31"/>
  <sheetViews>
    <sheetView workbookViewId="0" topLeftCell="A188">
      <selection activeCell="A1" sqref="A1:IV16384"/>
    </sheetView>
  </sheetViews>
  <sheetFormatPr defaultColWidth="9.140625" defaultRowHeight="12.75"/>
  <cols>
    <col min="1" max="1" width="2.140625" style="0" customWidth="1"/>
    <col min="2" max="2" width="0.9921875" style="0" customWidth="1"/>
    <col min="3" max="3" width="2.140625" style="0" customWidth="1"/>
    <col min="4" max="5" width="0.9921875" style="0" customWidth="1"/>
    <col min="6" max="6" width="3.00390625" style="0" customWidth="1"/>
    <col min="7" max="7" width="2.140625" style="0" customWidth="1"/>
    <col min="8" max="8" width="5.140625" style="0" customWidth="1"/>
    <col min="9" max="9" width="0.9921875" style="0" customWidth="1"/>
    <col min="10" max="10" width="4.140625" style="0" customWidth="1"/>
    <col min="11" max="11" width="3.00390625" style="0" customWidth="1"/>
    <col min="12" max="12" width="0.9921875" style="0" customWidth="1"/>
    <col min="13" max="14" width="2.140625" style="0" customWidth="1"/>
    <col min="15" max="16" width="0.9921875" style="0" customWidth="1"/>
    <col min="17" max="17" width="3.00390625" style="0" customWidth="1"/>
    <col min="18" max="19" width="0.9921875" style="0" customWidth="1"/>
    <col min="20" max="20" width="5.140625" style="0" customWidth="1"/>
    <col min="21" max="21" width="2.140625" style="0" customWidth="1"/>
    <col min="22" max="22" width="4.140625" style="0" customWidth="1"/>
    <col min="23" max="23" width="0.9921875" style="0" customWidth="1"/>
    <col min="24" max="24" width="4.140625" style="0" customWidth="1"/>
    <col min="25" max="25" width="5.140625" style="0" customWidth="1"/>
    <col min="26" max="26" width="8.140625" style="0" customWidth="1"/>
    <col min="27" max="27" width="4.140625" style="0" customWidth="1"/>
    <col min="28" max="29" width="0.9921875" style="0" customWidth="1"/>
    <col min="30" max="30" width="11.28125" style="0" customWidth="1"/>
    <col min="31" max="31" width="3.00390625" style="0" customWidth="1"/>
    <col min="32" max="32" width="4.140625" style="0" customWidth="1"/>
    <col min="33" max="33" width="10.28125" style="0" customWidth="1"/>
  </cols>
  <sheetData>
    <row r="1" spans="1:33" ht="20.25">
      <c r="A1" s="336"/>
      <c r="B1" s="336"/>
      <c r="C1" s="336"/>
      <c r="D1" s="336"/>
      <c r="E1" s="336"/>
      <c r="F1" s="336"/>
      <c r="G1" s="337" t="s">
        <v>1540</v>
      </c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8"/>
    </row>
    <row r="2" spans="1:33" ht="20.25">
      <c r="A2" s="336"/>
      <c r="B2" s="336"/>
      <c r="C2" s="336"/>
      <c r="D2" s="336"/>
      <c r="E2" s="336"/>
      <c r="F2" s="336"/>
      <c r="G2" s="336" t="s">
        <v>1541</v>
      </c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8"/>
    </row>
    <row r="3" spans="1:33" ht="12.75">
      <c r="A3" s="339"/>
      <c r="B3" s="339"/>
      <c r="C3" s="339"/>
      <c r="D3" s="339"/>
      <c r="E3" s="339"/>
      <c r="F3" s="339"/>
      <c r="G3" s="339" t="s">
        <v>1542</v>
      </c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40"/>
    </row>
    <row r="4" spans="1:33" ht="4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2"/>
    </row>
    <row r="5" spans="1:33" ht="12.75" customHeight="1">
      <c r="A5" s="343"/>
      <c r="B5" s="343"/>
      <c r="C5" s="343"/>
      <c r="D5" s="343" t="s">
        <v>1543</v>
      </c>
      <c r="E5" s="343"/>
      <c r="F5" s="343"/>
      <c r="G5" s="343"/>
      <c r="H5" s="343"/>
      <c r="I5" s="343"/>
      <c r="J5" s="343"/>
      <c r="K5" s="343"/>
      <c r="L5" s="344" t="s">
        <v>1544</v>
      </c>
      <c r="M5" s="344"/>
      <c r="N5" s="344"/>
      <c r="O5" s="344"/>
      <c r="P5" s="344"/>
      <c r="Q5" s="344"/>
      <c r="R5" s="344"/>
      <c r="S5" s="344" t="s">
        <v>1540</v>
      </c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</row>
    <row r="6" spans="1:33" ht="13.5" thickBot="1">
      <c r="A6" s="345"/>
      <c r="B6" s="345"/>
      <c r="C6" s="345"/>
      <c r="D6" s="345" t="s">
        <v>1545</v>
      </c>
      <c r="E6" s="345"/>
      <c r="F6" s="345"/>
      <c r="G6" s="345"/>
      <c r="H6" s="345"/>
      <c r="I6" s="345"/>
      <c r="J6" s="345"/>
      <c r="K6" s="345"/>
      <c r="L6" s="346" t="s">
        <v>1544</v>
      </c>
      <c r="M6" s="346"/>
      <c r="N6" s="346"/>
      <c r="O6" s="346"/>
      <c r="P6" s="346"/>
      <c r="Q6" s="346"/>
      <c r="R6" s="346"/>
      <c r="S6" s="346" t="s">
        <v>1546</v>
      </c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</row>
    <row r="7" spans="1:33" ht="12.75">
      <c r="A7" s="347" t="s">
        <v>1547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</row>
    <row r="8" spans="1:33" ht="12" customHeight="1">
      <c r="A8" s="343"/>
      <c r="B8" s="343"/>
      <c r="C8" s="343"/>
      <c r="D8" s="343" t="s">
        <v>1548</v>
      </c>
      <c r="E8" s="343"/>
      <c r="F8" s="343"/>
      <c r="G8" s="343"/>
      <c r="H8" s="343"/>
      <c r="I8" s="343"/>
      <c r="J8" s="343"/>
      <c r="K8" s="343"/>
      <c r="L8" s="348" t="s">
        <v>1549</v>
      </c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</row>
    <row r="9" spans="1:33" ht="12" customHeight="1">
      <c r="A9" s="343"/>
      <c r="B9" s="343"/>
      <c r="C9" s="343"/>
      <c r="D9" s="343" t="s">
        <v>1550</v>
      </c>
      <c r="E9" s="343"/>
      <c r="F9" s="343"/>
      <c r="G9" s="343"/>
      <c r="H9" s="343"/>
      <c r="I9" s="343"/>
      <c r="J9" s="343"/>
      <c r="K9" s="343"/>
      <c r="L9" s="348" t="s">
        <v>1551</v>
      </c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</row>
    <row r="10" spans="1:33" ht="12" customHeight="1">
      <c r="A10" s="343"/>
      <c r="B10" s="343"/>
      <c r="C10" s="343"/>
      <c r="D10" s="343" t="s">
        <v>1552</v>
      </c>
      <c r="E10" s="343"/>
      <c r="F10" s="343"/>
      <c r="G10" s="343"/>
      <c r="H10" s="343"/>
      <c r="I10" s="343"/>
      <c r="J10" s="343"/>
      <c r="K10" s="343"/>
      <c r="L10" s="348" t="s">
        <v>1553</v>
      </c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</row>
    <row r="11" spans="1:33" ht="12.75">
      <c r="A11" s="347" t="s">
        <v>1554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</row>
    <row r="12" spans="1:33" ht="12" customHeight="1">
      <c r="A12" s="343"/>
      <c r="B12" s="343"/>
      <c r="C12" s="343"/>
      <c r="D12" s="343" t="s">
        <v>1555</v>
      </c>
      <c r="E12" s="343"/>
      <c r="F12" s="343"/>
      <c r="G12" s="343"/>
      <c r="H12" s="343"/>
      <c r="I12" s="343"/>
      <c r="J12" s="343"/>
      <c r="K12" s="343"/>
      <c r="L12" s="348" t="s">
        <v>1556</v>
      </c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</row>
    <row r="13" spans="1:33" ht="12" customHeight="1">
      <c r="A13" s="343"/>
      <c r="B13" s="343"/>
      <c r="C13" s="343"/>
      <c r="D13" s="343" t="s">
        <v>1557</v>
      </c>
      <c r="E13" s="343"/>
      <c r="F13" s="343"/>
      <c r="G13" s="343"/>
      <c r="H13" s="343"/>
      <c r="I13" s="343"/>
      <c r="J13" s="343"/>
      <c r="K13" s="343"/>
      <c r="L13" s="348" t="s">
        <v>1558</v>
      </c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</row>
    <row r="14" spans="1:33" ht="12" customHeight="1">
      <c r="A14" s="343"/>
      <c r="B14" s="343"/>
      <c r="C14" s="343"/>
      <c r="D14" s="343" t="s">
        <v>1559</v>
      </c>
      <c r="E14" s="343"/>
      <c r="F14" s="343"/>
      <c r="G14" s="343"/>
      <c r="H14" s="343"/>
      <c r="I14" s="343"/>
      <c r="J14" s="343"/>
      <c r="K14" s="343"/>
      <c r="L14" s="348" t="s">
        <v>1560</v>
      </c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</row>
    <row r="15" spans="1:33" ht="12.75">
      <c r="A15" s="347" t="s">
        <v>1561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</row>
    <row r="16" spans="1:33" ht="10.5" customHeight="1">
      <c r="A16" s="343"/>
      <c r="B16" s="343"/>
      <c r="C16" s="343"/>
      <c r="D16" s="343" t="s">
        <v>1562</v>
      </c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</row>
    <row r="17" spans="1:33" ht="10.5" customHeight="1">
      <c r="A17" s="343"/>
      <c r="B17" s="343"/>
      <c r="C17" s="343"/>
      <c r="D17" s="343" t="s">
        <v>1563</v>
      </c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</row>
    <row r="18" spans="1:33" ht="10.5" customHeight="1">
      <c r="A18" s="343"/>
      <c r="B18" s="343"/>
      <c r="C18" s="343"/>
      <c r="D18" s="343" t="s">
        <v>1564</v>
      </c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</row>
    <row r="19" spans="1:33" ht="10.5" customHeight="1">
      <c r="A19" s="343"/>
      <c r="B19" s="343"/>
      <c r="C19" s="343"/>
      <c r="D19" s="343" t="s">
        <v>1565</v>
      </c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</row>
    <row r="20" spans="1:33" ht="10.5" customHeight="1">
      <c r="A20" s="343"/>
      <c r="B20" s="343"/>
      <c r="C20" s="343"/>
      <c r="D20" s="343" t="s">
        <v>1566</v>
      </c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</row>
    <row r="21" spans="1:33" ht="10.5" customHeight="1">
      <c r="A21" s="343"/>
      <c r="B21" s="343"/>
      <c r="C21" s="343"/>
      <c r="D21" s="343" t="s">
        <v>1567</v>
      </c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</row>
    <row r="22" spans="1:33" ht="10.5" customHeight="1">
      <c r="A22" s="343"/>
      <c r="B22" s="343"/>
      <c r="C22" s="343"/>
      <c r="D22" s="343" t="s">
        <v>1568</v>
      </c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</row>
    <row r="23" spans="1:33" ht="10.5" customHeight="1">
      <c r="A23" s="343"/>
      <c r="B23" s="343"/>
      <c r="C23" s="343"/>
      <c r="D23" s="343" t="s">
        <v>1569</v>
      </c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</row>
    <row r="24" spans="1:33" ht="10.5" customHeight="1">
      <c r="A24" s="343"/>
      <c r="B24" s="343"/>
      <c r="C24" s="343"/>
      <c r="D24" s="343" t="s">
        <v>1570</v>
      </c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</row>
    <row r="25" spans="1:33" ht="10.5" customHeight="1">
      <c r="A25" s="343"/>
      <c r="B25" s="343"/>
      <c r="C25" s="343"/>
      <c r="D25" s="343" t="s">
        <v>1571</v>
      </c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</row>
    <row r="26" spans="1:33" ht="10.5" customHeight="1">
      <c r="A26" s="343"/>
      <c r="B26" s="343"/>
      <c r="C26" s="343"/>
      <c r="D26" s="343" t="s">
        <v>1572</v>
      </c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</row>
    <row r="27" spans="1:33" ht="15.75" thickBot="1">
      <c r="A27" s="349" t="s">
        <v>1573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</row>
    <row r="28" spans="1:33" ht="12.75">
      <c r="A28" s="350" t="s">
        <v>1574</v>
      </c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1" t="s">
        <v>1575</v>
      </c>
      <c r="Y28" s="351"/>
      <c r="Z28" s="351"/>
      <c r="AA28" s="351" t="s">
        <v>1576</v>
      </c>
      <c r="AB28" s="351"/>
      <c r="AC28" s="351"/>
      <c r="AD28" s="351"/>
      <c r="AE28" s="351" t="s">
        <v>1577</v>
      </c>
      <c r="AF28" s="351"/>
      <c r="AG28" s="351"/>
    </row>
    <row r="29" spans="1:33" ht="12" customHeight="1">
      <c r="A29" s="343" t="s">
        <v>1578</v>
      </c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52" t="s">
        <v>1579</v>
      </c>
      <c r="Y29" s="352"/>
      <c r="Z29" s="352"/>
      <c r="AA29" s="352" t="s">
        <v>1580</v>
      </c>
      <c r="AB29" s="352"/>
      <c r="AC29" s="352"/>
      <c r="AD29" s="352"/>
      <c r="AE29" s="352" t="s">
        <v>1581</v>
      </c>
      <c r="AF29" s="352"/>
      <c r="AG29" s="352"/>
    </row>
    <row r="30" spans="1:33" ht="12" customHeight="1">
      <c r="A30" s="343" t="s">
        <v>1582</v>
      </c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52" t="s">
        <v>1583</v>
      </c>
      <c r="Y30" s="352"/>
      <c r="Z30" s="352"/>
      <c r="AA30" s="352" t="s">
        <v>1584</v>
      </c>
      <c r="AB30" s="352"/>
      <c r="AC30" s="352"/>
      <c r="AD30" s="352"/>
      <c r="AE30" s="352" t="s">
        <v>1585</v>
      </c>
      <c r="AF30" s="352"/>
      <c r="AG30" s="352"/>
    </row>
    <row r="31" spans="1:33" ht="12" customHeight="1">
      <c r="A31" s="343" t="s">
        <v>1586</v>
      </c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</row>
    <row r="32" spans="1:33" ht="12" customHeight="1">
      <c r="A32" s="343" t="s">
        <v>1587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52" t="s">
        <v>1588</v>
      </c>
      <c r="Y32" s="352"/>
      <c r="Z32" s="352"/>
      <c r="AA32" s="352" t="s">
        <v>1589</v>
      </c>
      <c r="AB32" s="352"/>
      <c r="AC32" s="352"/>
      <c r="AD32" s="352"/>
      <c r="AE32" s="352" t="s">
        <v>1590</v>
      </c>
      <c r="AF32" s="352"/>
      <c r="AG32" s="352"/>
    </row>
    <row r="33" spans="1:33" ht="12.75">
      <c r="A33" s="343" t="s">
        <v>1591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52" t="s">
        <v>1592</v>
      </c>
      <c r="Y33" s="352"/>
      <c r="Z33" s="352"/>
      <c r="AA33" s="352" t="s">
        <v>1593</v>
      </c>
      <c r="AB33" s="352"/>
      <c r="AC33" s="352"/>
      <c r="AD33" s="352"/>
      <c r="AE33" s="352" t="s">
        <v>1594</v>
      </c>
      <c r="AF33" s="352"/>
      <c r="AG33" s="352"/>
    </row>
    <row r="34" spans="1:33" ht="12.75">
      <c r="A34" s="343" t="s">
        <v>1595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52" t="s">
        <v>1596</v>
      </c>
      <c r="Y34" s="352"/>
      <c r="Z34" s="352"/>
      <c r="AA34" s="352" t="s">
        <v>1596</v>
      </c>
      <c r="AB34" s="352"/>
      <c r="AC34" s="352"/>
      <c r="AD34" s="352"/>
      <c r="AE34" s="352" t="s">
        <v>1597</v>
      </c>
      <c r="AF34" s="352"/>
      <c r="AG34" s="352"/>
    </row>
    <row r="35" spans="1:33" ht="13.5" thickBot="1">
      <c r="A35" s="343" t="s">
        <v>1598</v>
      </c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52" t="s">
        <v>1599</v>
      </c>
      <c r="Y35" s="352"/>
      <c r="Z35" s="352"/>
      <c r="AA35" s="352" t="s">
        <v>1600</v>
      </c>
      <c r="AB35" s="352"/>
      <c r="AC35" s="352"/>
      <c r="AD35" s="352"/>
      <c r="AE35" s="352" t="s">
        <v>1601</v>
      </c>
      <c r="AF35" s="352"/>
      <c r="AG35" s="352"/>
    </row>
    <row r="36" spans="1:33" ht="12.75">
      <c r="A36" s="350" t="s">
        <v>1602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1" t="s">
        <v>1575</v>
      </c>
      <c r="Y36" s="351"/>
      <c r="Z36" s="351"/>
      <c r="AA36" s="351" t="s">
        <v>1576</v>
      </c>
      <c r="AB36" s="351"/>
      <c r="AC36" s="351"/>
      <c r="AD36" s="351"/>
      <c r="AE36" s="351" t="s">
        <v>1577</v>
      </c>
      <c r="AF36" s="351"/>
      <c r="AG36" s="351"/>
    </row>
    <row r="37" spans="1:33" ht="10.5" customHeight="1">
      <c r="A37" s="343" t="s">
        <v>1603</v>
      </c>
      <c r="B37" s="343"/>
      <c r="C37" s="343"/>
      <c r="D37" s="343"/>
      <c r="E37" s="343" t="s">
        <v>1604</v>
      </c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52" t="s">
        <v>1605</v>
      </c>
      <c r="Y37" s="352"/>
      <c r="Z37" s="352"/>
      <c r="AA37" s="352" t="s">
        <v>1605</v>
      </c>
      <c r="AB37" s="352"/>
      <c r="AC37" s="352"/>
      <c r="AD37" s="352"/>
      <c r="AE37" s="352" t="s">
        <v>1606</v>
      </c>
      <c r="AF37" s="352"/>
      <c r="AG37" s="352"/>
    </row>
    <row r="38" spans="1:33" ht="10.5" customHeight="1">
      <c r="A38" s="343" t="s">
        <v>1607</v>
      </c>
      <c r="B38" s="343"/>
      <c r="C38" s="343"/>
      <c r="D38" s="343"/>
      <c r="E38" s="343" t="s">
        <v>1608</v>
      </c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52" t="s">
        <v>1609</v>
      </c>
      <c r="Y38" s="352"/>
      <c r="Z38" s="352"/>
      <c r="AA38" s="352" t="s">
        <v>1609</v>
      </c>
      <c r="AB38" s="352"/>
      <c r="AC38" s="352"/>
      <c r="AD38" s="352"/>
      <c r="AE38" s="352" t="s">
        <v>1610</v>
      </c>
      <c r="AF38" s="352"/>
      <c r="AG38" s="352"/>
    </row>
    <row r="39" spans="1:33" ht="10.5" customHeight="1">
      <c r="A39" s="343" t="s">
        <v>1611</v>
      </c>
      <c r="B39" s="343"/>
      <c r="C39" s="343"/>
      <c r="D39" s="343"/>
      <c r="E39" s="343" t="s">
        <v>1612</v>
      </c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52" t="s">
        <v>1613</v>
      </c>
      <c r="Y39" s="352"/>
      <c r="Z39" s="352"/>
      <c r="AA39" s="352" t="s">
        <v>1614</v>
      </c>
      <c r="AB39" s="352"/>
      <c r="AC39" s="352"/>
      <c r="AD39" s="352"/>
      <c r="AE39" s="352" t="s">
        <v>1615</v>
      </c>
      <c r="AF39" s="352"/>
      <c r="AG39" s="352"/>
    </row>
    <row r="40" spans="1:33" ht="10.5" customHeight="1">
      <c r="A40" s="343" t="s">
        <v>1616</v>
      </c>
      <c r="B40" s="343"/>
      <c r="C40" s="343"/>
      <c r="D40" s="343"/>
      <c r="E40" s="343" t="s">
        <v>1617</v>
      </c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52" t="s">
        <v>1618</v>
      </c>
      <c r="Y40" s="352"/>
      <c r="Z40" s="352"/>
      <c r="AA40" s="352" t="s">
        <v>1618</v>
      </c>
      <c r="AB40" s="352"/>
      <c r="AC40" s="352"/>
      <c r="AD40" s="352"/>
      <c r="AE40" s="352" t="s">
        <v>1619</v>
      </c>
      <c r="AF40" s="352"/>
      <c r="AG40" s="352"/>
    </row>
    <row r="41" spans="1:33" ht="10.5" customHeight="1">
      <c r="A41" s="343" t="s">
        <v>1620</v>
      </c>
      <c r="B41" s="343"/>
      <c r="C41" s="343"/>
      <c r="D41" s="343"/>
      <c r="E41" s="343" t="s">
        <v>1621</v>
      </c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52" t="s">
        <v>1605</v>
      </c>
      <c r="Y41" s="352"/>
      <c r="Z41" s="352"/>
      <c r="AA41" s="352" t="s">
        <v>1622</v>
      </c>
      <c r="AB41" s="352"/>
      <c r="AC41" s="352"/>
      <c r="AD41" s="352"/>
      <c r="AE41" s="352" t="s">
        <v>1623</v>
      </c>
      <c r="AF41" s="352"/>
      <c r="AG41" s="352"/>
    </row>
    <row r="42" spans="1:33" ht="10.5" customHeight="1">
      <c r="A42" s="343" t="s">
        <v>1624</v>
      </c>
      <c r="B42" s="343"/>
      <c r="C42" s="343"/>
      <c r="D42" s="343"/>
      <c r="E42" s="343" t="s">
        <v>1625</v>
      </c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52" t="s">
        <v>1626</v>
      </c>
      <c r="Y42" s="352"/>
      <c r="Z42" s="352"/>
      <c r="AA42" s="352"/>
      <c r="AB42" s="352"/>
      <c r="AC42" s="352"/>
      <c r="AD42" s="352"/>
      <c r="AE42" s="352"/>
      <c r="AF42" s="352"/>
      <c r="AG42" s="352"/>
    </row>
    <row r="43" spans="1:33" ht="13.5" thickBot="1">
      <c r="A43" s="345" t="s">
        <v>1627</v>
      </c>
      <c r="B43" s="345"/>
      <c r="C43" s="345"/>
      <c r="D43" s="345"/>
      <c r="E43" s="345" t="s">
        <v>1628</v>
      </c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53" t="s">
        <v>1629</v>
      </c>
      <c r="Y43" s="353"/>
      <c r="Z43" s="353"/>
      <c r="AA43" s="353" t="s">
        <v>1630</v>
      </c>
      <c r="AB43" s="353"/>
      <c r="AC43" s="353"/>
      <c r="AD43" s="353"/>
      <c r="AE43" s="353" t="s">
        <v>1631</v>
      </c>
      <c r="AF43" s="353"/>
      <c r="AG43" s="353"/>
    </row>
    <row r="44" spans="1:33" ht="10.5" customHeight="1">
      <c r="A44" s="354" t="s">
        <v>1632</v>
      </c>
      <c r="B44" s="354"/>
      <c r="C44" s="354"/>
      <c r="D44" s="354"/>
      <c r="E44" s="354" t="s">
        <v>1633</v>
      </c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5" t="s">
        <v>1634</v>
      </c>
      <c r="Y44" s="355"/>
      <c r="Z44" s="355"/>
      <c r="AA44" s="355" t="s">
        <v>1635</v>
      </c>
      <c r="AB44" s="355"/>
      <c r="AC44" s="355"/>
      <c r="AD44" s="355"/>
      <c r="AE44" s="355" t="s">
        <v>1636</v>
      </c>
      <c r="AF44" s="355"/>
      <c r="AG44" s="355"/>
    </row>
    <row r="45" spans="1:33" ht="13.5" thickBot="1">
      <c r="A45" s="345" t="s">
        <v>1637</v>
      </c>
      <c r="B45" s="345"/>
      <c r="C45" s="345"/>
      <c r="D45" s="345"/>
      <c r="E45" s="345" t="s">
        <v>1638</v>
      </c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53" t="s">
        <v>1634</v>
      </c>
      <c r="Y45" s="353"/>
      <c r="Z45" s="353"/>
      <c r="AA45" s="353" t="s">
        <v>1635</v>
      </c>
      <c r="AB45" s="353"/>
      <c r="AC45" s="353"/>
      <c r="AD45" s="353"/>
      <c r="AE45" s="353" t="s">
        <v>1636</v>
      </c>
      <c r="AF45" s="353"/>
      <c r="AG45" s="353"/>
    </row>
    <row r="46" spans="1:33" ht="10.5" customHeight="1">
      <c r="A46" s="354" t="s">
        <v>1639</v>
      </c>
      <c r="B46" s="354"/>
      <c r="C46" s="354"/>
      <c r="D46" s="354"/>
      <c r="E46" s="354" t="s">
        <v>1640</v>
      </c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5" t="s">
        <v>1641</v>
      </c>
      <c r="Y46" s="355"/>
      <c r="Z46" s="355"/>
      <c r="AA46" s="355" t="s">
        <v>1642</v>
      </c>
      <c r="AB46" s="355"/>
      <c r="AC46" s="355"/>
      <c r="AD46" s="355"/>
      <c r="AE46" s="355" t="s">
        <v>1643</v>
      </c>
      <c r="AF46" s="355"/>
      <c r="AG46" s="355"/>
    </row>
    <row r="47" spans="1:33" ht="13.5" thickBot="1">
      <c r="A47" s="345" t="s">
        <v>1644</v>
      </c>
      <c r="B47" s="345"/>
      <c r="C47" s="345"/>
      <c r="D47" s="345"/>
      <c r="E47" s="345" t="s">
        <v>1645</v>
      </c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53" t="s">
        <v>1641</v>
      </c>
      <c r="Y47" s="353"/>
      <c r="Z47" s="353"/>
      <c r="AA47" s="353" t="s">
        <v>1642</v>
      </c>
      <c r="AB47" s="353"/>
      <c r="AC47" s="353"/>
      <c r="AD47" s="353"/>
      <c r="AE47" s="353" t="s">
        <v>1643</v>
      </c>
      <c r="AF47" s="353"/>
      <c r="AG47" s="353"/>
    </row>
    <row r="48" spans="1:33" ht="13.5" thickBot="1">
      <c r="A48" s="356" t="s">
        <v>1646</v>
      </c>
      <c r="B48" s="356"/>
      <c r="C48" s="356"/>
      <c r="D48" s="356"/>
      <c r="E48" s="356" t="s">
        <v>1647</v>
      </c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7" t="s">
        <v>1648</v>
      </c>
      <c r="Y48" s="357"/>
      <c r="Z48" s="357"/>
      <c r="AA48" s="357" t="s">
        <v>1649</v>
      </c>
      <c r="AB48" s="357"/>
      <c r="AC48" s="357"/>
      <c r="AD48" s="357"/>
      <c r="AE48" s="357" t="s">
        <v>1650</v>
      </c>
      <c r="AF48" s="357"/>
      <c r="AG48" s="357"/>
    </row>
    <row r="49" spans="1:33" ht="10.5" customHeight="1">
      <c r="A49" s="354" t="s">
        <v>1651</v>
      </c>
      <c r="B49" s="354"/>
      <c r="C49" s="354"/>
      <c r="D49" s="354"/>
      <c r="E49" s="354" t="s">
        <v>1652</v>
      </c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5" t="s">
        <v>1653</v>
      </c>
      <c r="Y49" s="355"/>
      <c r="Z49" s="355"/>
      <c r="AA49" s="355" t="s">
        <v>1653</v>
      </c>
      <c r="AB49" s="355"/>
      <c r="AC49" s="355"/>
      <c r="AD49" s="355"/>
      <c r="AE49" s="355" t="s">
        <v>1654</v>
      </c>
      <c r="AF49" s="355"/>
      <c r="AG49" s="355"/>
    </row>
    <row r="50" spans="1:33" ht="13.5" thickBot="1">
      <c r="A50" s="345" t="s">
        <v>1655</v>
      </c>
      <c r="B50" s="345"/>
      <c r="C50" s="345"/>
      <c r="D50" s="345"/>
      <c r="E50" s="345" t="s">
        <v>1656</v>
      </c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53" t="s">
        <v>1653</v>
      </c>
      <c r="Y50" s="353"/>
      <c r="Z50" s="353"/>
      <c r="AA50" s="353" t="s">
        <v>1653</v>
      </c>
      <c r="AB50" s="353"/>
      <c r="AC50" s="353"/>
      <c r="AD50" s="353"/>
      <c r="AE50" s="353" t="s">
        <v>1654</v>
      </c>
      <c r="AF50" s="353"/>
      <c r="AG50" s="353"/>
    </row>
    <row r="51" spans="1:33" ht="13.5" thickBot="1">
      <c r="A51" s="356" t="s">
        <v>1657</v>
      </c>
      <c r="B51" s="356"/>
      <c r="C51" s="356"/>
      <c r="D51" s="356"/>
      <c r="E51" s="356" t="s">
        <v>1658</v>
      </c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356"/>
      <c r="V51" s="356"/>
      <c r="W51" s="356"/>
      <c r="X51" s="357" t="s">
        <v>1653</v>
      </c>
      <c r="Y51" s="357"/>
      <c r="Z51" s="357"/>
      <c r="AA51" s="357" t="s">
        <v>1653</v>
      </c>
      <c r="AB51" s="357"/>
      <c r="AC51" s="357"/>
      <c r="AD51" s="357"/>
      <c r="AE51" s="357" t="s">
        <v>1654</v>
      </c>
      <c r="AF51" s="357"/>
      <c r="AG51" s="357"/>
    </row>
    <row r="52" spans="1:33" ht="13.5" thickBot="1">
      <c r="A52" s="356" t="s">
        <v>1659</v>
      </c>
      <c r="B52" s="356"/>
      <c r="C52" s="356"/>
      <c r="D52" s="356"/>
      <c r="E52" s="356" t="s">
        <v>1660</v>
      </c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7" t="s">
        <v>1579</v>
      </c>
      <c r="Y52" s="357"/>
      <c r="Z52" s="357"/>
      <c r="AA52" s="357" t="s">
        <v>1580</v>
      </c>
      <c r="AB52" s="357"/>
      <c r="AC52" s="357"/>
      <c r="AD52" s="357"/>
      <c r="AE52" s="357" t="s">
        <v>1581</v>
      </c>
      <c r="AF52" s="357"/>
      <c r="AG52" s="357"/>
    </row>
    <row r="53" spans="1:33" ht="10.5" customHeight="1">
      <c r="A53" s="354" t="s">
        <v>1661</v>
      </c>
      <c r="B53" s="354"/>
      <c r="C53" s="354"/>
      <c r="D53" s="354"/>
      <c r="E53" s="354" t="s">
        <v>1662</v>
      </c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5" t="s">
        <v>1663</v>
      </c>
      <c r="Y53" s="355"/>
      <c r="Z53" s="355"/>
      <c r="AA53" s="355" t="s">
        <v>1664</v>
      </c>
      <c r="AB53" s="355"/>
      <c r="AC53" s="355"/>
      <c r="AD53" s="355"/>
      <c r="AE53" s="355" t="s">
        <v>1665</v>
      </c>
      <c r="AF53" s="355"/>
      <c r="AG53" s="355"/>
    </row>
    <row r="54" spans="1:33" ht="13.5" thickBot="1">
      <c r="A54" s="345" t="s">
        <v>1666</v>
      </c>
      <c r="B54" s="345"/>
      <c r="C54" s="345"/>
      <c r="D54" s="345"/>
      <c r="E54" s="345" t="s">
        <v>1667</v>
      </c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53" t="s">
        <v>1663</v>
      </c>
      <c r="Y54" s="353"/>
      <c r="Z54" s="353"/>
      <c r="AA54" s="353" t="s">
        <v>1664</v>
      </c>
      <c r="AB54" s="353"/>
      <c r="AC54" s="353"/>
      <c r="AD54" s="353"/>
      <c r="AE54" s="353" t="s">
        <v>1665</v>
      </c>
      <c r="AF54" s="353"/>
      <c r="AG54" s="353"/>
    </row>
    <row r="55" spans="1:33" ht="10.5" customHeight="1">
      <c r="A55" s="354" t="s">
        <v>1668</v>
      </c>
      <c r="B55" s="354"/>
      <c r="C55" s="354"/>
      <c r="D55" s="354"/>
      <c r="E55" s="354" t="s">
        <v>1669</v>
      </c>
      <c r="F55" s="354"/>
      <c r="G55" s="354"/>
      <c r="H55" s="354"/>
      <c r="I55" s="354"/>
      <c r="J55" s="354"/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U55" s="354"/>
      <c r="V55" s="354"/>
      <c r="W55" s="354"/>
      <c r="X55" s="355" t="s">
        <v>1670</v>
      </c>
      <c r="Y55" s="355"/>
      <c r="Z55" s="355"/>
      <c r="AA55" s="355" t="s">
        <v>1670</v>
      </c>
      <c r="AB55" s="355"/>
      <c r="AC55" s="355"/>
      <c r="AD55" s="355"/>
      <c r="AE55" s="355" t="s">
        <v>1671</v>
      </c>
      <c r="AF55" s="355"/>
      <c r="AG55" s="355"/>
    </row>
    <row r="56" spans="1:33" ht="13.5" thickBot="1">
      <c r="A56" s="345" t="s">
        <v>1672</v>
      </c>
      <c r="B56" s="345"/>
      <c r="C56" s="345"/>
      <c r="D56" s="345"/>
      <c r="E56" s="345" t="s">
        <v>1673</v>
      </c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53" t="s">
        <v>1670</v>
      </c>
      <c r="Y56" s="353"/>
      <c r="Z56" s="353"/>
      <c r="AA56" s="353" t="s">
        <v>1670</v>
      </c>
      <c r="AB56" s="353"/>
      <c r="AC56" s="353"/>
      <c r="AD56" s="353"/>
      <c r="AE56" s="353" t="s">
        <v>1671</v>
      </c>
      <c r="AF56" s="353"/>
      <c r="AG56" s="353"/>
    </row>
    <row r="57" spans="1:33" ht="13.5" thickBot="1">
      <c r="A57" s="356" t="s">
        <v>1674</v>
      </c>
      <c r="B57" s="356"/>
      <c r="C57" s="356"/>
      <c r="D57" s="356"/>
      <c r="E57" s="356" t="s">
        <v>1675</v>
      </c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7" t="s">
        <v>1676</v>
      </c>
      <c r="Y57" s="357"/>
      <c r="Z57" s="357"/>
      <c r="AA57" s="357" t="s">
        <v>1677</v>
      </c>
      <c r="AB57" s="357"/>
      <c r="AC57" s="357"/>
      <c r="AD57" s="357"/>
      <c r="AE57" s="357" t="s">
        <v>1678</v>
      </c>
      <c r="AF57" s="357"/>
      <c r="AG57" s="357"/>
    </row>
    <row r="58" spans="1:33" ht="10.5" customHeight="1">
      <c r="A58" s="354" t="s">
        <v>1679</v>
      </c>
      <c r="B58" s="354"/>
      <c r="C58" s="354"/>
      <c r="D58" s="354"/>
      <c r="E58" s="354" t="s">
        <v>1680</v>
      </c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R58" s="354"/>
      <c r="S58" s="354"/>
      <c r="T58" s="354"/>
      <c r="U58" s="354"/>
      <c r="V58" s="354"/>
      <c r="W58" s="354"/>
      <c r="X58" s="355" t="s">
        <v>1681</v>
      </c>
      <c r="Y58" s="355"/>
      <c r="Z58" s="355"/>
      <c r="AA58" s="355" t="s">
        <v>1682</v>
      </c>
      <c r="AB58" s="355"/>
      <c r="AC58" s="355"/>
      <c r="AD58" s="355"/>
      <c r="AE58" s="355" t="s">
        <v>1683</v>
      </c>
      <c r="AF58" s="355"/>
      <c r="AG58" s="355"/>
    </row>
    <row r="59" spans="1:33" ht="13.5" thickBot="1">
      <c r="A59" s="345" t="s">
        <v>1684</v>
      </c>
      <c r="B59" s="345"/>
      <c r="C59" s="345"/>
      <c r="D59" s="345"/>
      <c r="E59" s="345" t="s">
        <v>1685</v>
      </c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53" t="s">
        <v>1681</v>
      </c>
      <c r="Y59" s="353"/>
      <c r="Z59" s="353"/>
      <c r="AA59" s="353" t="s">
        <v>1682</v>
      </c>
      <c r="AB59" s="353"/>
      <c r="AC59" s="353"/>
      <c r="AD59" s="353"/>
      <c r="AE59" s="353" t="s">
        <v>1683</v>
      </c>
      <c r="AF59" s="353"/>
      <c r="AG59" s="353"/>
    </row>
    <row r="60" spans="1:33" ht="10.5" customHeight="1">
      <c r="A60" s="354" t="s">
        <v>1686</v>
      </c>
      <c r="B60" s="354"/>
      <c r="C60" s="354"/>
      <c r="D60" s="354"/>
      <c r="E60" s="354" t="s">
        <v>1687</v>
      </c>
      <c r="F60" s="354"/>
      <c r="G60" s="354"/>
      <c r="H60" s="354"/>
      <c r="I60" s="354"/>
      <c r="J60" s="354"/>
      <c r="K60" s="354"/>
      <c r="L60" s="354"/>
      <c r="M60" s="354"/>
      <c r="N60" s="354"/>
      <c r="O60" s="354"/>
      <c r="P60" s="354"/>
      <c r="Q60" s="354"/>
      <c r="R60" s="354"/>
      <c r="S60" s="354"/>
      <c r="T60" s="354"/>
      <c r="U60" s="354"/>
      <c r="V60" s="354"/>
      <c r="W60" s="354"/>
      <c r="X60" s="355"/>
      <c r="Y60" s="355"/>
      <c r="Z60" s="355"/>
      <c r="AA60" s="358" t="s">
        <v>1688</v>
      </c>
      <c r="AB60" s="358"/>
      <c r="AC60" s="358"/>
      <c r="AD60" s="358"/>
      <c r="AE60" s="358" t="s">
        <v>1689</v>
      </c>
      <c r="AF60" s="358"/>
      <c r="AG60" s="358"/>
    </row>
    <row r="61" spans="1:33" ht="13.5" thickBot="1">
      <c r="A61" s="345" t="s">
        <v>1690</v>
      </c>
      <c r="B61" s="345"/>
      <c r="C61" s="345"/>
      <c r="D61" s="345"/>
      <c r="E61" s="345" t="s">
        <v>1691</v>
      </c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53"/>
      <c r="Y61" s="353"/>
      <c r="Z61" s="353"/>
      <c r="AA61" s="359" t="s">
        <v>1688</v>
      </c>
      <c r="AB61" s="359"/>
      <c r="AC61" s="359"/>
      <c r="AD61" s="359"/>
      <c r="AE61" s="359" t="s">
        <v>1689</v>
      </c>
      <c r="AF61" s="359"/>
      <c r="AG61" s="359"/>
    </row>
    <row r="62" spans="1:33" ht="13.5" thickBot="1">
      <c r="A62" s="356" t="s">
        <v>1692</v>
      </c>
      <c r="B62" s="356"/>
      <c r="C62" s="356"/>
      <c r="D62" s="356"/>
      <c r="E62" s="356" t="s">
        <v>1693</v>
      </c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7" t="s">
        <v>1681</v>
      </c>
      <c r="Y62" s="357"/>
      <c r="Z62" s="357"/>
      <c r="AA62" s="360" t="s">
        <v>1694</v>
      </c>
      <c r="AB62" s="360"/>
      <c r="AC62" s="360"/>
      <c r="AD62" s="360"/>
      <c r="AE62" s="360" t="s">
        <v>1695</v>
      </c>
      <c r="AF62" s="360"/>
      <c r="AG62" s="360"/>
    </row>
    <row r="63" spans="1:33" ht="10.5" customHeight="1">
      <c r="A63" s="354" t="s">
        <v>1696</v>
      </c>
      <c r="B63" s="354"/>
      <c r="C63" s="354"/>
      <c r="D63" s="354"/>
      <c r="E63" s="354" t="s">
        <v>1697</v>
      </c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354"/>
      <c r="S63" s="354"/>
      <c r="T63" s="354"/>
      <c r="U63" s="354"/>
      <c r="V63" s="354"/>
      <c r="W63" s="354"/>
      <c r="X63" s="355"/>
      <c r="Y63" s="355"/>
      <c r="Z63" s="355"/>
      <c r="AA63" s="355" t="s">
        <v>1698</v>
      </c>
      <c r="AB63" s="355"/>
      <c r="AC63" s="355"/>
      <c r="AD63" s="355"/>
      <c r="AE63" s="355" t="s">
        <v>1698</v>
      </c>
      <c r="AF63" s="355"/>
      <c r="AG63" s="355"/>
    </row>
    <row r="64" spans="1:33" ht="10.5" customHeight="1">
      <c r="A64" s="343" t="s">
        <v>1699</v>
      </c>
      <c r="B64" s="343"/>
      <c r="C64" s="343"/>
      <c r="D64" s="343"/>
      <c r="E64" s="343" t="s">
        <v>1700</v>
      </c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52"/>
      <c r="Y64" s="352"/>
      <c r="Z64" s="352"/>
      <c r="AA64" s="352" t="s">
        <v>1701</v>
      </c>
      <c r="AB64" s="352"/>
      <c r="AC64" s="352"/>
      <c r="AD64" s="352"/>
      <c r="AE64" s="352" t="s">
        <v>1702</v>
      </c>
      <c r="AF64" s="352"/>
      <c r="AG64" s="352"/>
    </row>
    <row r="65" spans="1:33" ht="10.5" customHeight="1">
      <c r="A65" s="343" t="s">
        <v>1703</v>
      </c>
      <c r="B65" s="343"/>
      <c r="C65" s="343"/>
      <c r="D65" s="343"/>
      <c r="E65" s="343" t="s">
        <v>1704</v>
      </c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3"/>
      <c r="T65" s="343"/>
      <c r="U65" s="343"/>
      <c r="V65" s="343"/>
      <c r="W65" s="343"/>
      <c r="X65" s="352"/>
      <c r="Y65" s="352"/>
      <c r="Z65" s="352"/>
      <c r="AA65" s="352" t="s">
        <v>1705</v>
      </c>
      <c r="AB65" s="352"/>
      <c r="AC65" s="352"/>
      <c r="AD65" s="352"/>
      <c r="AE65" s="352" t="s">
        <v>1706</v>
      </c>
      <c r="AF65" s="352"/>
      <c r="AG65" s="352"/>
    </row>
    <row r="66" spans="1:33" ht="13.5" thickBot="1">
      <c r="A66" s="345" t="s">
        <v>1707</v>
      </c>
      <c r="B66" s="345"/>
      <c r="C66" s="345"/>
      <c r="D66" s="345"/>
      <c r="E66" s="345" t="s">
        <v>1708</v>
      </c>
      <c r="F66" s="345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53"/>
      <c r="Y66" s="353"/>
      <c r="Z66" s="353"/>
      <c r="AA66" s="353" t="s">
        <v>1709</v>
      </c>
      <c r="AB66" s="353"/>
      <c r="AC66" s="353"/>
      <c r="AD66" s="353"/>
      <c r="AE66" s="353" t="s">
        <v>1710</v>
      </c>
      <c r="AF66" s="353"/>
      <c r="AG66" s="353"/>
    </row>
    <row r="67" spans="1:33" ht="13.5" thickBot="1">
      <c r="A67" s="350" t="s">
        <v>1602</v>
      </c>
      <c r="B67" s="350"/>
      <c r="C67" s="350"/>
      <c r="D67" s="350"/>
      <c r="E67" s="350"/>
      <c r="F67" s="350"/>
      <c r="G67" s="350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  <c r="U67" s="350"/>
      <c r="V67" s="350"/>
      <c r="W67" s="350"/>
      <c r="X67" s="351" t="s">
        <v>1575</v>
      </c>
      <c r="Y67" s="351"/>
      <c r="Z67" s="351"/>
      <c r="AA67" s="351" t="s">
        <v>1576</v>
      </c>
      <c r="AB67" s="351"/>
      <c r="AC67" s="351"/>
      <c r="AD67" s="351"/>
      <c r="AE67" s="351" t="s">
        <v>1577</v>
      </c>
      <c r="AF67" s="351"/>
      <c r="AG67" s="351"/>
    </row>
    <row r="68" spans="1:33" ht="10.5" customHeight="1">
      <c r="A68" s="354" t="s">
        <v>1711</v>
      </c>
      <c r="B68" s="354"/>
      <c r="C68" s="354"/>
      <c r="D68" s="354"/>
      <c r="E68" s="354" t="s">
        <v>1712</v>
      </c>
      <c r="F68" s="354"/>
      <c r="G68" s="354"/>
      <c r="H68" s="354"/>
      <c r="I68" s="354"/>
      <c r="J68" s="354"/>
      <c r="K68" s="354"/>
      <c r="L68" s="354"/>
      <c r="M68" s="354"/>
      <c r="N68" s="354"/>
      <c r="O68" s="354"/>
      <c r="P68" s="354"/>
      <c r="Q68" s="354"/>
      <c r="R68" s="354"/>
      <c r="S68" s="354"/>
      <c r="T68" s="354"/>
      <c r="U68" s="354"/>
      <c r="V68" s="354"/>
      <c r="W68" s="354"/>
      <c r="X68" s="355" t="s">
        <v>1713</v>
      </c>
      <c r="Y68" s="355"/>
      <c r="Z68" s="355"/>
      <c r="AA68" s="355" t="s">
        <v>1714</v>
      </c>
      <c r="AB68" s="355"/>
      <c r="AC68" s="355"/>
      <c r="AD68" s="355"/>
      <c r="AE68" s="355" t="s">
        <v>1715</v>
      </c>
      <c r="AF68" s="355"/>
      <c r="AG68" s="355"/>
    </row>
    <row r="69" spans="1:33" ht="13.5" thickBot="1">
      <c r="A69" s="345" t="s">
        <v>1716</v>
      </c>
      <c r="B69" s="345"/>
      <c r="C69" s="345"/>
      <c r="D69" s="345"/>
      <c r="E69" s="345" t="s">
        <v>1717</v>
      </c>
      <c r="F69" s="345"/>
      <c r="G69" s="345"/>
      <c r="H69" s="345"/>
      <c r="I69" s="345"/>
      <c r="J69" s="345"/>
      <c r="K69" s="345"/>
      <c r="L69" s="345"/>
      <c r="M69" s="345"/>
      <c r="N69" s="345"/>
      <c r="O69" s="345"/>
      <c r="P69" s="345"/>
      <c r="Q69" s="345"/>
      <c r="R69" s="345"/>
      <c r="S69" s="345"/>
      <c r="T69" s="345"/>
      <c r="U69" s="345"/>
      <c r="V69" s="345"/>
      <c r="W69" s="345"/>
      <c r="X69" s="353" t="s">
        <v>1713</v>
      </c>
      <c r="Y69" s="353"/>
      <c r="Z69" s="353"/>
      <c r="AA69" s="353" t="s">
        <v>1714</v>
      </c>
      <c r="AB69" s="353"/>
      <c r="AC69" s="353"/>
      <c r="AD69" s="353"/>
      <c r="AE69" s="353" t="s">
        <v>1715</v>
      </c>
      <c r="AF69" s="353"/>
      <c r="AG69" s="353"/>
    </row>
    <row r="70" spans="1:33" ht="13.5" thickBot="1">
      <c r="A70" s="356" t="s">
        <v>1718</v>
      </c>
      <c r="B70" s="356"/>
      <c r="C70" s="356"/>
      <c r="D70" s="356"/>
      <c r="E70" s="356" t="s">
        <v>1719</v>
      </c>
      <c r="F70" s="356"/>
      <c r="G70" s="356"/>
      <c r="H70" s="356"/>
      <c r="I70" s="356"/>
      <c r="J70" s="356"/>
      <c r="K70" s="356"/>
      <c r="L70" s="356"/>
      <c r="M70" s="356"/>
      <c r="N70" s="356"/>
      <c r="O70" s="356"/>
      <c r="P70" s="356"/>
      <c r="Q70" s="356"/>
      <c r="R70" s="356"/>
      <c r="S70" s="356"/>
      <c r="T70" s="356"/>
      <c r="U70" s="356"/>
      <c r="V70" s="356"/>
      <c r="W70" s="356"/>
      <c r="X70" s="357" t="s">
        <v>1713</v>
      </c>
      <c r="Y70" s="357"/>
      <c r="Z70" s="357"/>
      <c r="AA70" s="357" t="s">
        <v>1720</v>
      </c>
      <c r="AB70" s="357"/>
      <c r="AC70" s="357"/>
      <c r="AD70" s="357"/>
      <c r="AE70" s="357" t="s">
        <v>1721</v>
      </c>
      <c r="AF70" s="357"/>
      <c r="AG70" s="357"/>
    </row>
    <row r="71" spans="1:33" ht="10.5" customHeight="1">
      <c r="A71" s="354" t="s">
        <v>1722</v>
      </c>
      <c r="B71" s="354"/>
      <c r="C71" s="354"/>
      <c r="D71" s="354"/>
      <c r="E71" s="354" t="s">
        <v>1723</v>
      </c>
      <c r="F71" s="354"/>
      <c r="G71" s="354"/>
      <c r="H71" s="354"/>
      <c r="I71" s="354"/>
      <c r="J71" s="354"/>
      <c r="K71" s="354"/>
      <c r="L71" s="354"/>
      <c r="M71" s="354"/>
      <c r="N71" s="354"/>
      <c r="O71" s="354"/>
      <c r="P71" s="354"/>
      <c r="Q71" s="354"/>
      <c r="R71" s="354"/>
      <c r="S71" s="354"/>
      <c r="T71" s="354"/>
      <c r="U71" s="354"/>
      <c r="V71" s="354"/>
      <c r="W71" s="354"/>
      <c r="X71" s="355"/>
      <c r="Y71" s="355"/>
      <c r="Z71" s="355"/>
      <c r="AA71" s="355"/>
      <c r="AB71" s="355"/>
      <c r="AC71" s="355"/>
      <c r="AD71" s="355"/>
      <c r="AE71" s="355" t="s">
        <v>1724</v>
      </c>
      <c r="AF71" s="355"/>
      <c r="AG71" s="355"/>
    </row>
    <row r="72" spans="1:33" ht="13.5" thickBot="1">
      <c r="A72" s="345" t="s">
        <v>1725</v>
      </c>
      <c r="B72" s="345"/>
      <c r="C72" s="345"/>
      <c r="D72" s="345"/>
      <c r="E72" s="345" t="s">
        <v>1726</v>
      </c>
      <c r="F72" s="345"/>
      <c r="G72" s="345"/>
      <c r="H72" s="345"/>
      <c r="I72" s="345"/>
      <c r="J72" s="345"/>
      <c r="K72" s="345"/>
      <c r="L72" s="345"/>
      <c r="M72" s="345"/>
      <c r="N72" s="345"/>
      <c r="O72" s="345"/>
      <c r="P72" s="345"/>
      <c r="Q72" s="345"/>
      <c r="R72" s="345"/>
      <c r="S72" s="345"/>
      <c r="T72" s="345"/>
      <c r="U72" s="345"/>
      <c r="V72" s="345"/>
      <c r="W72" s="345"/>
      <c r="X72" s="353"/>
      <c r="Y72" s="353"/>
      <c r="Z72" s="353"/>
      <c r="AA72" s="353"/>
      <c r="AB72" s="353"/>
      <c r="AC72" s="353"/>
      <c r="AD72" s="353"/>
      <c r="AE72" s="353" t="s">
        <v>1724</v>
      </c>
      <c r="AF72" s="353"/>
      <c r="AG72" s="353"/>
    </row>
    <row r="73" spans="1:33" ht="13.5" thickBot="1">
      <c r="A73" s="356" t="s">
        <v>1727</v>
      </c>
      <c r="B73" s="356"/>
      <c r="C73" s="356"/>
      <c r="D73" s="356"/>
      <c r="E73" s="356" t="s">
        <v>1728</v>
      </c>
      <c r="F73" s="356"/>
      <c r="G73" s="356"/>
      <c r="H73" s="356"/>
      <c r="I73" s="356"/>
      <c r="J73" s="356"/>
      <c r="K73" s="356"/>
      <c r="L73" s="356"/>
      <c r="M73" s="356"/>
      <c r="N73" s="356"/>
      <c r="O73" s="356"/>
      <c r="P73" s="356"/>
      <c r="Q73" s="356"/>
      <c r="R73" s="356"/>
      <c r="S73" s="356"/>
      <c r="T73" s="356"/>
      <c r="U73" s="356"/>
      <c r="V73" s="356"/>
      <c r="W73" s="356"/>
      <c r="X73" s="357"/>
      <c r="Y73" s="357"/>
      <c r="Z73" s="357"/>
      <c r="AA73" s="357"/>
      <c r="AB73" s="357"/>
      <c r="AC73" s="357"/>
      <c r="AD73" s="357"/>
      <c r="AE73" s="357" t="s">
        <v>1724</v>
      </c>
      <c r="AF73" s="357"/>
      <c r="AG73" s="357"/>
    </row>
    <row r="74" spans="1:33" ht="13.5" thickBot="1">
      <c r="A74" s="356" t="s">
        <v>1729</v>
      </c>
      <c r="B74" s="356"/>
      <c r="C74" s="356"/>
      <c r="D74" s="356"/>
      <c r="E74" s="356" t="s">
        <v>1730</v>
      </c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6"/>
      <c r="S74" s="356"/>
      <c r="T74" s="356"/>
      <c r="U74" s="356"/>
      <c r="V74" s="356"/>
      <c r="W74" s="356"/>
      <c r="X74" s="357" t="s">
        <v>1583</v>
      </c>
      <c r="Y74" s="357"/>
      <c r="Z74" s="357"/>
      <c r="AA74" s="357" t="s">
        <v>1584</v>
      </c>
      <c r="AB74" s="357"/>
      <c r="AC74" s="357"/>
      <c r="AD74" s="357"/>
      <c r="AE74" s="357" t="s">
        <v>1585</v>
      </c>
      <c r="AF74" s="357"/>
      <c r="AG74" s="357"/>
    </row>
    <row r="75" spans="1:33" ht="13.5" thickBot="1">
      <c r="A75" s="361" t="s">
        <v>1731</v>
      </c>
      <c r="B75" s="361"/>
      <c r="C75" s="361"/>
      <c r="D75" s="361"/>
      <c r="E75" s="361"/>
      <c r="F75" s="361"/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1"/>
      <c r="R75" s="361"/>
      <c r="S75" s="361"/>
      <c r="T75" s="361"/>
      <c r="U75" s="361"/>
      <c r="V75" s="361"/>
      <c r="W75" s="361"/>
      <c r="X75" s="362" t="s">
        <v>1732</v>
      </c>
      <c r="Y75" s="362"/>
      <c r="Z75" s="362"/>
      <c r="AA75" s="362" t="s">
        <v>1733</v>
      </c>
      <c r="AB75" s="362"/>
      <c r="AC75" s="362"/>
      <c r="AD75" s="362"/>
      <c r="AE75" s="362" t="s">
        <v>1734</v>
      </c>
      <c r="AF75" s="362"/>
      <c r="AG75" s="362"/>
    </row>
    <row r="76" spans="1:33" ht="10.5" customHeight="1">
      <c r="A76" s="354" t="s">
        <v>1735</v>
      </c>
      <c r="B76" s="354"/>
      <c r="C76" s="354"/>
      <c r="D76" s="354"/>
      <c r="E76" s="354" t="s">
        <v>1736</v>
      </c>
      <c r="F76" s="354"/>
      <c r="G76" s="354"/>
      <c r="H76" s="354"/>
      <c r="I76" s="354"/>
      <c r="J76" s="354"/>
      <c r="K76" s="354"/>
      <c r="L76" s="354"/>
      <c r="M76" s="354"/>
      <c r="N76" s="354"/>
      <c r="O76" s="354"/>
      <c r="P76" s="354"/>
      <c r="Q76" s="354"/>
      <c r="R76" s="354"/>
      <c r="S76" s="354"/>
      <c r="T76" s="354"/>
      <c r="U76" s="354"/>
      <c r="V76" s="354"/>
      <c r="W76" s="354"/>
      <c r="X76" s="355"/>
      <c r="Y76" s="355"/>
      <c r="Z76" s="355"/>
      <c r="AA76" s="355" t="s">
        <v>1737</v>
      </c>
      <c r="AB76" s="355"/>
      <c r="AC76" s="355"/>
      <c r="AD76" s="355"/>
      <c r="AE76" s="355" t="s">
        <v>1738</v>
      </c>
      <c r="AF76" s="355"/>
      <c r="AG76" s="355"/>
    </row>
    <row r="77" spans="1:33" ht="10.5" customHeight="1">
      <c r="A77" s="343" t="s">
        <v>1739</v>
      </c>
      <c r="B77" s="343"/>
      <c r="C77" s="343"/>
      <c r="D77" s="343"/>
      <c r="E77" s="343" t="s">
        <v>1740</v>
      </c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52" t="s">
        <v>1741</v>
      </c>
      <c r="Y77" s="352"/>
      <c r="Z77" s="352"/>
      <c r="AA77" s="352" t="s">
        <v>1741</v>
      </c>
      <c r="AB77" s="352"/>
      <c r="AC77" s="352"/>
      <c r="AD77" s="352"/>
      <c r="AE77" s="352" t="s">
        <v>1741</v>
      </c>
      <c r="AF77" s="352"/>
      <c r="AG77" s="352"/>
    </row>
    <row r="78" spans="1:33" ht="10.5" customHeight="1">
      <c r="A78" s="343" t="s">
        <v>1742</v>
      </c>
      <c r="B78" s="343"/>
      <c r="C78" s="343"/>
      <c r="D78" s="343"/>
      <c r="E78" s="343" t="s">
        <v>1743</v>
      </c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52"/>
      <c r="Y78" s="352"/>
      <c r="Z78" s="352"/>
      <c r="AA78" s="352" t="s">
        <v>1744</v>
      </c>
      <c r="AB78" s="352"/>
      <c r="AC78" s="352"/>
      <c r="AD78" s="352"/>
      <c r="AE78" s="352" t="s">
        <v>1745</v>
      </c>
      <c r="AF78" s="352"/>
      <c r="AG78" s="352"/>
    </row>
    <row r="79" spans="1:33" ht="12.75" customHeight="1" thickBot="1">
      <c r="A79" s="345" t="s">
        <v>1746</v>
      </c>
      <c r="B79" s="345"/>
      <c r="C79" s="345"/>
      <c r="D79" s="345"/>
      <c r="E79" s="345" t="s">
        <v>1747</v>
      </c>
      <c r="F79" s="345"/>
      <c r="G79" s="345"/>
      <c r="H79" s="345"/>
      <c r="I79" s="345"/>
      <c r="J79" s="345"/>
      <c r="K79" s="345"/>
      <c r="L79" s="345"/>
      <c r="M79" s="345"/>
      <c r="N79" s="345"/>
      <c r="O79" s="345"/>
      <c r="P79" s="345"/>
      <c r="Q79" s="345"/>
      <c r="R79" s="345"/>
      <c r="S79" s="345"/>
      <c r="T79" s="345"/>
      <c r="U79" s="345"/>
      <c r="V79" s="345"/>
      <c r="W79" s="345"/>
      <c r="X79" s="353" t="s">
        <v>1741</v>
      </c>
      <c r="Y79" s="353"/>
      <c r="Z79" s="353"/>
      <c r="AA79" s="353" t="s">
        <v>1748</v>
      </c>
      <c r="AB79" s="353"/>
      <c r="AC79" s="353"/>
      <c r="AD79" s="353"/>
      <c r="AE79" s="353" t="s">
        <v>1749</v>
      </c>
      <c r="AF79" s="353"/>
      <c r="AG79" s="353"/>
    </row>
    <row r="80" spans="1:33" ht="10.5" customHeight="1">
      <c r="A80" s="354" t="s">
        <v>1750</v>
      </c>
      <c r="B80" s="354"/>
      <c r="C80" s="354"/>
      <c r="D80" s="354"/>
      <c r="E80" s="354" t="s">
        <v>1751</v>
      </c>
      <c r="F80" s="354"/>
      <c r="G80" s="354"/>
      <c r="H80" s="354"/>
      <c r="I80" s="354"/>
      <c r="J80" s="354"/>
      <c r="K80" s="354"/>
      <c r="L80" s="354"/>
      <c r="M80" s="354"/>
      <c r="N80" s="354"/>
      <c r="O80" s="354"/>
      <c r="P80" s="354"/>
      <c r="Q80" s="354"/>
      <c r="R80" s="354"/>
      <c r="S80" s="354"/>
      <c r="T80" s="354"/>
      <c r="U80" s="354"/>
      <c r="V80" s="354"/>
      <c r="W80" s="354"/>
      <c r="X80" s="355" t="s">
        <v>1752</v>
      </c>
      <c r="Y80" s="355"/>
      <c r="Z80" s="355"/>
      <c r="AA80" s="355" t="s">
        <v>1753</v>
      </c>
      <c r="AB80" s="355"/>
      <c r="AC80" s="355"/>
      <c r="AD80" s="355"/>
      <c r="AE80" s="355" t="s">
        <v>1754</v>
      </c>
      <c r="AF80" s="355"/>
      <c r="AG80" s="355"/>
    </row>
    <row r="81" spans="1:33" ht="12.75" customHeight="1" thickBot="1">
      <c r="A81" s="345" t="s">
        <v>1755</v>
      </c>
      <c r="B81" s="345"/>
      <c r="C81" s="345"/>
      <c r="D81" s="345"/>
      <c r="E81" s="345" t="s">
        <v>1756</v>
      </c>
      <c r="F81" s="345"/>
      <c r="G81" s="345"/>
      <c r="H81" s="345"/>
      <c r="I81" s="345"/>
      <c r="J81" s="345"/>
      <c r="K81" s="345"/>
      <c r="L81" s="345"/>
      <c r="M81" s="345"/>
      <c r="N81" s="345"/>
      <c r="O81" s="345"/>
      <c r="P81" s="345"/>
      <c r="Q81" s="345"/>
      <c r="R81" s="345"/>
      <c r="S81" s="345"/>
      <c r="T81" s="345"/>
      <c r="U81" s="345"/>
      <c r="V81" s="345"/>
      <c r="W81" s="345"/>
      <c r="X81" s="353" t="s">
        <v>1752</v>
      </c>
      <c r="Y81" s="353"/>
      <c r="Z81" s="353"/>
      <c r="AA81" s="353" t="s">
        <v>1753</v>
      </c>
      <c r="AB81" s="353"/>
      <c r="AC81" s="353"/>
      <c r="AD81" s="353"/>
      <c r="AE81" s="353" t="s">
        <v>1754</v>
      </c>
      <c r="AF81" s="353"/>
      <c r="AG81" s="353"/>
    </row>
    <row r="82" spans="1:33" ht="10.5" customHeight="1">
      <c r="A82" s="354" t="s">
        <v>1757</v>
      </c>
      <c r="B82" s="354"/>
      <c r="C82" s="354"/>
      <c r="D82" s="354"/>
      <c r="E82" s="354" t="s">
        <v>1758</v>
      </c>
      <c r="F82" s="354"/>
      <c r="G82" s="354"/>
      <c r="H82" s="354"/>
      <c r="I82" s="354"/>
      <c r="J82" s="354"/>
      <c r="K82" s="354"/>
      <c r="L82" s="354"/>
      <c r="M82" s="354"/>
      <c r="N82" s="354"/>
      <c r="O82" s="354"/>
      <c r="P82" s="354"/>
      <c r="Q82" s="354"/>
      <c r="R82" s="354"/>
      <c r="S82" s="354"/>
      <c r="T82" s="354"/>
      <c r="U82" s="354"/>
      <c r="V82" s="354"/>
      <c r="W82" s="354"/>
      <c r="X82" s="355" t="s">
        <v>1759</v>
      </c>
      <c r="Y82" s="355"/>
      <c r="Z82" s="355"/>
      <c r="AA82" s="355" t="s">
        <v>1760</v>
      </c>
      <c r="AB82" s="355"/>
      <c r="AC82" s="355"/>
      <c r="AD82" s="355"/>
      <c r="AE82" s="355" t="s">
        <v>1760</v>
      </c>
      <c r="AF82" s="355"/>
      <c r="AG82" s="355"/>
    </row>
    <row r="83" spans="1:33" ht="10.5" customHeight="1">
      <c r="A83" s="343" t="s">
        <v>1761</v>
      </c>
      <c r="B83" s="343"/>
      <c r="C83" s="343"/>
      <c r="D83" s="343"/>
      <c r="E83" s="343" t="s">
        <v>1762</v>
      </c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52" t="s">
        <v>1596</v>
      </c>
      <c r="Y83" s="352"/>
      <c r="Z83" s="352"/>
      <c r="AA83" s="352" t="s">
        <v>1596</v>
      </c>
      <c r="AB83" s="352"/>
      <c r="AC83" s="352"/>
      <c r="AD83" s="352"/>
      <c r="AE83" s="352" t="s">
        <v>1597</v>
      </c>
      <c r="AF83" s="352"/>
      <c r="AG83" s="352"/>
    </row>
    <row r="84" spans="1:33" ht="12.75" customHeight="1" thickBot="1">
      <c r="A84" s="345" t="s">
        <v>1763</v>
      </c>
      <c r="B84" s="345"/>
      <c r="C84" s="345"/>
      <c r="D84" s="345"/>
      <c r="E84" s="345" t="s">
        <v>1764</v>
      </c>
      <c r="F84" s="345"/>
      <c r="G84" s="345"/>
      <c r="H84" s="345"/>
      <c r="I84" s="345"/>
      <c r="J84" s="345"/>
      <c r="K84" s="345"/>
      <c r="L84" s="345"/>
      <c r="M84" s="345"/>
      <c r="N84" s="345"/>
      <c r="O84" s="345"/>
      <c r="P84" s="345"/>
      <c r="Q84" s="345"/>
      <c r="R84" s="345"/>
      <c r="S84" s="345"/>
      <c r="T84" s="345"/>
      <c r="U84" s="345"/>
      <c r="V84" s="345"/>
      <c r="W84" s="345"/>
      <c r="X84" s="353" t="s">
        <v>1765</v>
      </c>
      <c r="Y84" s="353"/>
      <c r="Z84" s="353"/>
      <c r="AA84" s="353" t="s">
        <v>1766</v>
      </c>
      <c r="AB84" s="353"/>
      <c r="AC84" s="353"/>
      <c r="AD84" s="353"/>
      <c r="AE84" s="353" t="s">
        <v>1767</v>
      </c>
      <c r="AF84" s="353"/>
      <c r="AG84" s="353"/>
    </row>
    <row r="85" spans="1:33" ht="10.5" customHeight="1">
      <c r="A85" s="354" t="s">
        <v>1768</v>
      </c>
      <c r="B85" s="354"/>
      <c r="C85" s="354"/>
      <c r="D85" s="354"/>
      <c r="E85" s="354" t="s">
        <v>1769</v>
      </c>
      <c r="F85" s="354"/>
      <c r="G85" s="354"/>
      <c r="H85" s="354"/>
      <c r="I85" s="354"/>
      <c r="J85" s="354"/>
      <c r="K85" s="354"/>
      <c r="L85" s="354"/>
      <c r="M85" s="354"/>
      <c r="N85" s="354"/>
      <c r="O85" s="354"/>
      <c r="P85" s="354"/>
      <c r="Q85" s="354"/>
      <c r="R85" s="354"/>
      <c r="S85" s="354"/>
      <c r="T85" s="354"/>
      <c r="U85" s="354"/>
      <c r="V85" s="354"/>
      <c r="W85" s="354"/>
      <c r="X85" s="355"/>
      <c r="Y85" s="355"/>
      <c r="Z85" s="355"/>
      <c r="AA85" s="355" t="s">
        <v>1770</v>
      </c>
      <c r="AB85" s="355"/>
      <c r="AC85" s="355"/>
      <c r="AD85" s="355"/>
      <c r="AE85" s="355" t="s">
        <v>1771</v>
      </c>
      <c r="AF85" s="355"/>
      <c r="AG85" s="355"/>
    </row>
    <row r="86" spans="1:33" ht="12.75" customHeight="1" thickBot="1">
      <c r="A86" s="345" t="s">
        <v>1772</v>
      </c>
      <c r="B86" s="345"/>
      <c r="C86" s="345"/>
      <c r="D86" s="345"/>
      <c r="E86" s="345" t="s">
        <v>1773</v>
      </c>
      <c r="F86" s="345"/>
      <c r="G86" s="345"/>
      <c r="H86" s="345"/>
      <c r="I86" s="345"/>
      <c r="J86" s="345"/>
      <c r="K86" s="345"/>
      <c r="L86" s="345"/>
      <c r="M86" s="345"/>
      <c r="N86" s="345"/>
      <c r="O86" s="345"/>
      <c r="P86" s="345"/>
      <c r="Q86" s="345"/>
      <c r="R86" s="345"/>
      <c r="S86" s="345"/>
      <c r="T86" s="345"/>
      <c r="U86" s="345"/>
      <c r="V86" s="345"/>
      <c r="W86" s="345"/>
      <c r="X86" s="353"/>
      <c r="Y86" s="353"/>
      <c r="Z86" s="353"/>
      <c r="AA86" s="353" t="s">
        <v>1770</v>
      </c>
      <c r="AB86" s="353"/>
      <c r="AC86" s="353"/>
      <c r="AD86" s="353"/>
      <c r="AE86" s="353" t="s">
        <v>1771</v>
      </c>
      <c r="AF86" s="353"/>
      <c r="AG86" s="353"/>
    </row>
    <row r="87" spans="1:33" ht="13.5" thickBot="1">
      <c r="A87" s="356" t="s">
        <v>1774</v>
      </c>
      <c r="B87" s="356"/>
      <c r="C87" s="356"/>
      <c r="D87" s="356"/>
      <c r="E87" s="356" t="s">
        <v>1775</v>
      </c>
      <c r="F87" s="356"/>
      <c r="G87" s="356"/>
      <c r="H87" s="356"/>
      <c r="I87" s="356"/>
      <c r="J87" s="356"/>
      <c r="K87" s="356"/>
      <c r="L87" s="356"/>
      <c r="M87" s="356"/>
      <c r="N87" s="356"/>
      <c r="O87" s="356"/>
      <c r="P87" s="356"/>
      <c r="Q87" s="356"/>
      <c r="R87" s="356"/>
      <c r="S87" s="356"/>
      <c r="T87" s="356"/>
      <c r="U87" s="356"/>
      <c r="V87" s="356"/>
      <c r="W87" s="356"/>
      <c r="X87" s="357" t="s">
        <v>1588</v>
      </c>
      <c r="Y87" s="357"/>
      <c r="Z87" s="357"/>
      <c r="AA87" s="357" t="s">
        <v>1776</v>
      </c>
      <c r="AB87" s="357"/>
      <c r="AC87" s="357"/>
      <c r="AD87" s="357"/>
      <c r="AE87" s="357" t="s">
        <v>1777</v>
      </c>
      <c r="AF87" s="357"/>
      <c r="AG87" s="357"/>
    </row>
    <row r="88" spans="1:33" ht="10.5" customHeight="1">
      <c r="A88" s="354" t="s">
        <v>1778</v>
      </c>
      <c r="B88" s="354"/>
      <c r="C88" s="354"/>
      <c r="D88" s="354"/>
      <c r="E88" s="354" t="s">
        <v>1779</v>
      </c>
      <c r="F88" s="354"/>
      <c r="G88" s="354"/>
      <c r="H88" s="354"/>
      <c r="I88" s="354"/>
      <c r="J88" s="354"/>
      <c r="K88" s="354"/>
      <c r="L88" s="354"/>
      <c r="M88" s="354"/>
      <c r="N88" s="354"/>
      <c r="O88" s="354"/>
      <c r="P88" s="354"/>
      <c r="Q88" s="354"/>
      <c r="R88" s="354"/>
      <c r="S88" s="354"/>
      <c r="T88" s="354"/>
      <c r="U88" s="354"/>
      <c r="V88" s="354"/>
      <c r="W88" s="354"/>
      <c r="X88" s="355"/>
      <c r="Y88" s="355"/>
      <c r="Z88" s="355"/>
      <c r="AA88" s="355" t="s">
        <v>1780</v>
      </c>
      <c r="AB88" s="355"/>
      <c r="AC88" s="355"/>
      <c r="AD88" s="355"/>
      <c r="AE88" s="355" t="s">
        <v>1780</v>
      </c>
      <c r="AF88" s="355"/>
      <c r="AG88" s="355"/>
    </row>
    <row r="89" spans="1:33" ht="13.5" thickBot="1">
      <c r="A89" s="345" t="s">
        <v>1781</v>
      </c>
      <c r="B89" s="345"/>
      <c r="C89" s="345"/>
      <c r="D89" s="345"/>
      <c r="E89" s="345" t="s">
        <v>1782</v>
      </c>
      <c r="F89" s="345"/>
      <c r="G89" s="345"/>
      <c r="H89" s="345"/>
      <c r="I89" s="345"/>
      <c r="J89" s="345"/>
      <c r="K89" s="345"/>
      <c r="L89" s="345"/>
      <c r="M89" s="345"/>
      <c r="N89" s="345"/>
      <c r="O89" s="345"/>
      <c r="P89" s="345"/>
      <c r="Q89" s="345"/>
      <c r="R89" s="345"/>
      <c r="S89" s="345"/>
      <c r="T89" s="345"/>
      <c r="U89" s="345"/>
      <c r="V89" s="345"/>
      <c r="W89" s="345"/>
      <c r="X89" s="353"/>
      <c r="Y89" s="353"/>
      <c r="Z89" s="353"/>
      <c r="AA89" s="353" t="s">
        <v>1780</v>
      </c>
      <c r="AB89" s="353"/>
      <c r="AC89" s="353"/>
      <c r="AD89" s="353"/>
      <c r="AE89" s="353" t="s">
        <v>1780</v>
      </c>
      <c r="AF89" s="353"/>
      <c r="AG89" s="353"/>
    </row>
    <row r="90" spans="1:33" ht="13.5" thickBot="1">
      <c r="A90" s="356" t="s">
        <v>1783</v>
      </c>
      <c r="B90" s="356"/>
      <c r="C90" s="356"/>
      <c r="D90" s="356"/>
      <c r="E90" s="356" t="s">
        <v>1784</v>
      </c>
      <c r="F90" s="356"/>
      <c r="G90" s="356"/>
      <c r="H90" s="356"/>
      <c r="I90" s="356"/>
      <c r="J90" s="356"/>
      <c r="K90" s="356"/>
      <c r="L90" s="356"/>
      <c r="M90" s="356"/>
      <c r="N90" s="356"/>
      <c r="O90" s="356"/>
      <c r="P90" s="356"/>
      <c r="Q90" s="356"/>
      <c r="R90" s="356"/>
      <c r="S90" s="356"/>
      <c r="T90" s="356"/>
      <c r="U90" s="356"/>
      <c r="V90" s="356"/>
      <c r="W90" s="356"/>
      <c r="X90" s="357"/>
      <c r="Y90" s="357"/>
      <c r="Z90" s="357"/>
      <c r="AA90" s="357" t="s">
        <v>1780</v>
      </c>
      <c r="AB90" s="357"/>
      <c r="AC90" s="357"/>
      <c r="AD90" s="357"/>
      <c r="AE90" s="357" t="s">
        <v>1780</v>
      </c>
      <c r="AF90" s="357"/>
      <c r="AG90" s="357"/>
    </row>
    <row r="91" spans="1:33" ht="13.5" thickBot="1">
      <c r="A91" s="356" t="s">
        <v>1785</v>
      </c>
      <c r="B91" s="356"/>
      <c r="C91" s="356"/>
      <c r="D91" s="356"/>
      <c r="E91" s="356" t="s">
        <v>1786</v>
      </c>
      <c r="F91" s="356"/>
      <c r="G91" s="356"/>
      <c r="H91" s="356"/>
      <c r="I91" s="356"/>
      <c r="J91" s="356"/>
      <c r="K91" s="356"/>
      <c r="L91" s="356"/>
      <c r="M91" s="356"/>
      <c r="N91" s="356"/>
      <c r="O91" s="356"/>
      <c r="P91" s="356"/>
      <c r="Q91" s="356"/>
      <c r="R91" s="356"/>
      <c r="S91" s="356"/>
      <c r="T91" s="356"/>
      <c r="U91" s="356"/>
      <c r="V91" s="356"/>
      <c r="W91" s="356"/>
      <c r="X91" s="357" t="s">
        <v>1588</v>
      </c>
      <c r="Y91" s="357"/>
      <c r="Z91" s="357"/>
      <c r="AA91" s="357" t="s">
        <v>1589</v>
      </c>
      <c r="AB91" s="357"/>
      <c r="AC91" s="357"/>
      <c r="AD91" s="357"/>
      <c r="AE91" s="357" t="s">
        <v>1590</v>
      </c>
      <c r="AF91" s="357"/>
      <c r="AG91" s="357"/>
    </row>
    <row r="92" spans="1:33" ht="13.5" thickBot="1">
      <c r="A92" s="363" t="s">
        <v>1787</v>
      </c>
      <c r="B92" s="363"/>
      <c r="C92" s="363"/>
      <c r="D92" s="363"/>
      <c r="E92" s="363"/>
      <c r="F92" s="363"/>
      <c r="G92" s="363"/>
      <c r="H92" s="363"/>
      <c r="I92" s="363"/>
      <c r="J92" s="363"/>
      <c r="K92" s="363"/>
      <c r="L92" s="363"/>
      <c r="M92" s="363"/>
      <c r="N92" s="363"/>
      <c r="O92" s="363"/>
      <c r="P92" s="363"/>
      <c r="Q92" s="363"/>
      <c r="R92" s="363"/>
      <c r="S92" s="363"/>
      <c r="T92" s="363"/>
      <c r="U92" s="363"/>
      <c r="V92" s="363"/>
      <c r="W92" s="363"/>
      <c r="X92" s="362" t="s">
        <v>1592</v>
      </c>
      <c r="Y92" s="362"/>
      <c r="Z92" s="362"/>
      <c r="AA92" s="362" t="s">
        <v>1593</v>
      </c>
      <c r="AB92" s="362"/>
      <c r="AC92" s="362"/>
      <c r="AD92" s="362"/>
      <c r="AE92" s="362" t="s">
        <v>1594</v>
      </c>
      <c r="AF92" s="362"/>
      <c r="AG92" s="362"/>
    </row>
    <row r="93" spans="1:33" ht="15.75" thickBot="1">
      <c r="A93" s="349" t="s">
        <v>1788</v>
      </c>
      <c r="B93" s="349"/>
      <c r="C93" s="349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49"/>
      <c r="R93" s="349"/>
      <c r="S93" s="349"/>
      <c r="T93" s="349"/>
      <c r="U93" s="349"/>
      <c r="V93" s="349"/>
      <c r="W93" s="349"/>
      <c r="X93" s="349"/>
      <c r="Y93" s="349"/>
      <c r="Z93" s="349"/>
      <c r="AA93" s="349"/>
      <c r="AB93" s="349"/>
      <c r="AC93" s="349"/>
      <c r="AD93" s="349"/>
      <c r="AE93" s="349"/>
      <c r="AF93" s="349"/>
      <c r="AG93" s="349"/>
    </row>
    <row r="94" spans="1:33" ht="9.75" customHeight="1">
      <c r="A94" s="350" t="s">
        <v>1574</v>
      </c>
      <c r="B94" s="350"/>
      <c r="C94" s="350"/>
      <c r="D94" s="350"/>
      <c r="E94" s="350"/>
      <c r="F94" s="350"/>
      <c r="G94" s="350"/>
      <c r="H94" s="350"/>
      <c r="I94" s="350"/>
      <c r="J94" s="350"/>
      <c r="K94" s="350"/>
      <c r="L94" s="350"/>
      <c r="M94" s="350"/>
      <c r="N94" s="350"/>
      <c r="O94" s="350"/>
      <c r="P94" s="350"/>
      <c r="Q94" s="350"/>
      <c r="R94" s="350"/>
      <c r="S94" s="350"/>
      <c r="T94" s="350"/>
      <c r="U94" s="350"/>
      <c r="V94" s="350"/>
      <c r="W94" s="350"/>
      <c r="X94" s="351" t="s">
        <v>1575</v>
      </c>
      <c r="Y94" s="351"/>
      <c r="Z94" s="351"/>
      <c r="AA94" s="351" t="s">
        <v>1576</v>
      </c>
      <c r="AB94" s="351"/>
      <c r="AC94" s="351"/>
      <c r="AD94" s="351"/>
      <c r="AE94" s="351" t="s">
        <v>1577</v>
      </c>
      <c r="AF94" s="351"/>
      <c r="AG94" s="351"/>
    </row>
    <row r="95" spans="1:33" ht="12" customHeight="1">
      <c r="A95" s="343" t="s">
        <v>1789</v>
      </c>
      <c r="B95" s="343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52" t="s">
        <v>1790</v>
      </c>
      <c r="Y95" s="352"/>
      <c r="Z95" s="352"/>
      <c r="AA95" s="352" t="s">
        <v>1791</v>
      </c>
      <c r="AB95" s="352"/>
      <c r="AC95" s="352"/>
      <c r="AD95" s="352"/>
      <c r="AE95" s="352" t="s">
        <v>1792</v>
      </c>
      <c r="AF95" s="352"/>
      <c r="AG95" s="352"/>
    </row>
    <row r="96" spans="1:33" ht="12" customHeight="1">
      <c r="A96" s="343" t="s">
        <v>1793</v>
      </c>
      <c r="B96" s="343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52" t="s">
        <v>1794</v>
      </c>
      <c r="Y96" s="352"/>
      <c r="Z96" s="352"/>
      <c r="AA96" s="352" t="s">
        <v>1795</v>
      </c>
      <c r="AB96" s="352"/>
      <c r="AC96" s="352"/>
      <c r="AD96" s="352"/>
      <c r="AE96" s="352" t="s">
        <v>1796</v>
      </c>
      <c r="AF96" s="352"/>
      <c r="AG96" s="352"/>
    </row>
    <row r="97" spans="1:33" ht="12" customHeight="1">
      <c r="A97" s="343" t="s">
        <v>1797</v>
      </c>
      <c r="B97" s="343"/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52" t="s">
        <v>1592</v>
      </c>
      <c r="Y97" s="352"/>
      <c r="Z97" s="352"/>
      <c r="AA97" s="352" t="s">
        <v>1798</v>
      </c>
      <c r="AB97" s="352"/>
      <c r="AC97" s="352"/>
      <c r="AD97" s="352"/>
      <c r="AE97" s="352" t="s">
        <v>1799</v>
      </c>
      <c r="AF97" s="352"/>
      <c r="AG97" s="352"/>
    </row>
    <row r="98" spans="1:33" ht="12" customHeight="1">
      <c r="A98" s="343" t="s">
        <v>1800</v>
      </c>
      <c r="B98" s="343"/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52" t="s">
        <v>1596</v>
      </c>
      <c r="Y98" s="352"/>
      <c r="Z98" s="352"/>
      <c r="AA98" s="352" t="s">
        <v>1596</v>
      </c>
      <c r="AB98" s="352"/>
      <c r="AC98" s="352"/>
      <c r="AD98" s="352"/>
      <c r="AE98" s="352" t="s">
        <v>1597</v>
      </c>
      <c r="AF98" s="352"/>
      <c r="AG98" s="352"/>
    </row>
    <row r="99" spans="1:33" ht="12.75" customHeight="1" thickBot="1">
      <c r="A99" s="343" t="s">
        <v>1801</v>
      </c>
      <c r="B99" s="343"/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52" t="s">
        <v>1599</v>
      </c>
      <c r="Y99" s="352"/>
      <c r="Z99" s="352"/>
      <c r="AA99" s="352" t="s">
        <v>1802</v>
      </c>
      <c r="AB99" s="352"/>
      <c r="AC99" s="352"/>
      <c r="AD99" s="352"/>
      <c r="AE99" s="352" t="s">
        <v>1803</v>
      </c>
      <c r="AF99" s="352"/>
      <c r="AG99" s="352"/>
    </row>
    <row r="100" spans="1:33" ht="9.75" customHeight="1">
      <c r="A100" s="350" t="s">
        <v>1602</v>
      </c>
      <c r="B100" s="350"/>
      <c r="C100" s="350"/>
      <c r="D100" s="350"/>
      <c r="E100" s="350"/>
      <c r="F100" s="350"/>
      <c r="G100" s="350"/>
      <c r="H100" s="350"/>
      <c r="I100" s="350"/>
      <c r="J100" s="350"/>
      <c r="K100" s="350"/>
      <c r="L100" s="350"/>
      <c r="M100" s="350"/>
      <c r="N100" s="350"/>
      <c r="O100" s="350"/>
      <c r="P100" s="350"/>
      <c r="Q100" s="350"/>
      <c r="R100" s="350"/>
      <c r="S100" s="350"/>
      <c r="T100" s="350"/>
      <c r="U100" s="350"/>
      <c r="V100" s="350"/>
      <c r="W100" s="350"/>
      <c r="X100" s="351" t="s">
        <v>1575</v>
      </c>
      <c r="Y100" s="351"/>
      <c r="Z100" s="351"/>
      <c r="AA100" s="351" t="s">
        <v>1576</v>
      </c>
      <c r="AB100" s="351"/>
      <c r="AC100" s="351"/>
      <c r="AD100" s="351"/>
      <c r="AE100" s="351" t="s">
        <v>1577</v>
      </c>
      <c r="AF100" s="351"/>
      <c r="AG100" s="351"/>
    </row>
    <row r="101" spans="1:33" ht="10.5" customHeight="1">
      <c r="A101" s="343" t="s">
        <v>1804</v>
      </c>
      <c r="B101" s="343"/>
      <c r="C101" s="343"/>
      <c r="D101" s="343"/>
      <c r="E101" s="343" t="s">
        <v>1805</v>
      </c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52" t="s">
        <v>1806</v>
      </c>
      <c r="Y101" s="352"/>
      <c r="Z101" s="352"/>
      <c r="AA101" s="352" t="s">
        <v>1807</v>
      </c>
      <c r="AB101" s="352"/>
      <c r="AC101" s="352"/>
      <c r="AD101" s="352"/>
      <c r="AE101" s="352" t="s">
        <v>1808</v>
      </c>
      <c r="AF101" s="352"/>
      <c r="AG101" s="352"/>
    </row>
    <row r="102" spans="1:33" ht="12.75" customHeight="1" thickBot="1">
      <c r="A102" s="345" t="s">
        <v>1809</v>
      </c>
      <c r="B102" s="345"/>
      <c r="C102" s="345"/>
      <c r="D102" s="345"/>
      <c r="E102" s="345" t="s">
        <v>1810</v>
      </c>
      <c r="F102" s="345"/>
      <c r="G102" s="345"/>
      <c r="H102" s="345"/>
      <c r="I102" s="345"/>
      <c r="J102" s="345"/>
      <c r="K102" s="345"/>
      <c r="L102" s="345"/>
      <c r="M102" s="345"/>
      <c r="N102" s="345"/>
      <c r="O102" s="345"/>
      <c r="P102" s="345"/>
      <c r="Q102" s="345"/>
      <c r="R102" s="345"/>
      <c r="S102" s="345"/>
      <c r="T102" s="345"/>
      <c r="U102" s="345"/>
      <c r="V102" s="345"/>
      <c r="W102" s="345"/>
      <c r="X102" s="353" t="s">
        <v>1806</v>
      </c>
      <c r="Y102" s="353"/>
      <c r="Z102" s="353"/>
      <c r="AA102" s="353" t="s">
        <v>1807</v>
      </c>
      <c r="AB102" s="353"/>
      <c r="AC102" s="353"/>
      <c r="AD102" s="353"/>
      <c r="AE102" s="353" t="s">
        <v>1808</v>
      </c>
      <c r="AF102" s="353"/>
      <c r="AG102" s="353"/>
    </row>
    <row r="103" spans="1:33" ht="10.5" customHeight="1">
      <c r="A103" s="354" t="s">
        <v>1811</v>
      </c>
      <c r="B103" s="354"/>
      <c r="C103" s="354"/>
      <c r="D103" s="354"/>
      <c r="E103" s="354" t="s">
        <v>1812</v>
      </c>
      <c r="F103" s="354"/>
      <c r="G103" s="354"/>
      <c r="H103" s="354"/>
      <c r="I103" s="354"/>
      <c r="J103" s="354"/>
      <c r="K103" s="354"/>
      <c r="L103" s="354"/>
      <c r="M103" s="354"/>
      <c r="N103" s="354"/>
      <c r="O103" s="354"/>
      <c r="P103" s="354"/>
      <c r="Q103" s="354"/>
      <c r="R103" s="354"/>
      <c r="S103" s="354"/>
      <c r="T103" s="354"/>
      <c r="U103" s="354"/>
      <c r="V103" s="354"/>
      <c r="W103" s="354"/>
      <c r="X103" s="355" t="s">
        <v>1813</v>
      </c>
      <c r="Y103" s="355"/>
      <c r="Z103" s="355"/>
      <c r="AA103" s="355" t="s">
        <v>1814</v>
      </c>
      <c r="AB103" s="355"/>
      <c r="AC103" s="355"/>
      <c r="AD103" s="355"/>
      <c r="AE103" s="355" t="s">
        <v>1815</v>
      </c>
      <c r="AF103" s="355"/>
      <c r="AG103" s="355"/>
    </row>
    <row r="104" spans="1:33" ht="10.5" customHeight="1">
      <c r="A104" s="343" t="s">
        <v>1816</v>
      </c>
      <c r="B104" s="343"/>
      <c r="C104" s="343"/>
      <c r="D104" s="343"/>
      <c r="E104" s="343" t="s">
        <v>1817</v>
      </c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52" t="s">
        <v>1818</v>
      </c>
      <c r="Y104" s="352"/>
      <c r="Z104" s="352"/>
      <c r="AA104" s="352" t="s">
        <v>1818</v>
      </c>
      <c r="AB104" s="352"/>
      <c r="AC104" s="352"/>
      <c r="AD104" s="352"/>
      <c r="AE104" s="352" t="s">
        <v>1819</v>
      </c>
      <c r="AF104" s="352"/>
      <c r="AG104" s="352"/>
    </row>
    <row r="105" spans="1:33" ht="12.75" customHeight="1" thickBot="1">
      <c r="A105" s="345" t="s">
        <v>1820</v>
      </c>
      <c r="B105" s="345"/>
      <c r="C105" s="345"/>
      <c r="D105" s="345"/>
      <c r="E105" s="345" t="s">
        <v>1821</v>
      </c>
      <c r="F105" s="345"/>
      <c r="G105" s="345"/>
      <c r="H105" s="345"/>
      <c r="I105" s="345"/>
      <c r="J105" s="345"/>
      <c r="K105" s="345"/>
      <c r="L105" s="345"/>
      <c r="M105" s="345"/>
      <c r="N105" s="345"/>
      <c r="O105" s="345"/>
      <c r="P105" s="345"/>
      <c r="Q105" s="345"/>
      <c r="R105" s="345"/>
      <c r="S105" s="345"/>
      <c r="T105" s="345"/>
      <c r="U105" s="345"/>
      <c r="V105" s="345"/>
      <c r="W105" s="345"/>
      <c r="X105" s="353" t="s">
        <v>1822</v>
      </c>
      <c r="Y105" s="353"/>
      <c r="Z105" s="353"/>
      <c r="AA105" s="353" t="s">
        <v>1823</v>
      </c>
      <c r="AB105" s="353"/>
      <c r="AC105" s="353"/>
      <c r="AD105" s="353"/>
      <c r="AE105" s="353" t="s">
        <v>1824</v>
      </c>
      <c r="AF105" s="353"/>
      <c r="AG105" s="353"/>
    </row>
    <row r="106" spans="1:33" ht="10.5" customHeight="1">
      <c r="A106" s="354" t="s">
        <v>1825</v>
      </c>
      <c r="B106" s="354"/>
      <c r="C106" s="354"/>
      <c r="D106" s="354"/>
      <c r="E106" s="354" t="s">
        <v>1826</v>
      </c>
      <c r="F106" s="354"/>
      <c r="G106" s="354"/>
      <c r="H106" s="354"/>
      <c r="I106" s="354"/>
      <c r="J106" s="354"/>
      <c r="K106" s="354"/>
      <c r="L106" s="354"/>
      <c r="M106" s="354"/>
      <c r="N106" s="354"/>
      <c r="O106" s="354"/>
      <c r="P106" s="354"/>
      <c r="Q106" s="354"/>
      <c r="R106" s="354"/>
      <c r="S106" s="354"/>
      <c r="T106" s="354"/>
      <c r="U106" s="354"/>
      <c r="V106" s="354"/>
      <c r="W106" s="354"/>
      <c r="X106" s="355" t="s">
        <v>1827</v>
      </c>
      <c r="Y106" s="355"/>
      <c r="Z106" s="355"/>
      <c r="AA106" s="355" t="s">
        <v>1828</v>
      </c>
      <c r="AB106" s="355"/>
      <c r="AC106" s="355"/>
      <c r="AD106" s="355"/>
      <c r="AE106" s="355" t="s">
        <v>1829</v>
      </c>
      <c r="AF106" s="355"/>
      <c r="AG106" s="355"/>
    </row>
    <row r="107" spans="1:33" ht="10.5" customHeight="1">
      <c r="A107" s="343" t="s">
        <v>1830</v>
      </c>
      <c r="B107" s="343"/>
      <c r="C107" s="343"/>
      <c r="D107" s="343"/>
      <c r="E107" s="343" t="s">
        <v>1831</v>
      </c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52" t="s">
        <v>1832</v>
      </c>
      <c r="Y107" s="352"/>
      <c r="Z107" s="352"/>
      <c r="AA107" s="352" t="s">
        <v>1833</v>
      </c>
      <c r="AB107" s="352"/>
      <c r="AC107" s="352"/>
      <c r="AD107" s="352"/>
      <c r="AE107" s="352" t="s">
        <v>1834</v>
      </c>
      <c r="AF107" s="352"/>
      <c r="AG107" s="352"/>
    </row>
    <row r="108" spans="1:33" ht="10.5" customHeight="1">
      <c r="A108" s="343" t="s">
        <v>1835</v>
      </c>
      <c r="B108" s="343"/>
      <c r="C108" s="343"/>
      <c r="D108" s="343"/>
      <c r="E108" s="343" t="s">
        <v>1836</v>
      </c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52" t="s">
        <v>1837</v>
      </c>
      <c r="Y108" s="352"/>
      <c r="Z108" s="352"/>
      <c r="AA108" s="352" t="s">
        <v>1838</v>
      </c>
      <c r="AB108" s="352"/>
      <c r="AC108" s="352"/>
      <c r="AD108" s="352"/>
      <c r="AE108" s="352" t="s">
        <v>1839</v>
      </c>
      <c r="AF108" s="352"/>
      <c r="AG108" s="352"/>
    </row>
    <row r="109" spans="1:33" ht="12.75" customHeight="1" thickBot="1">
      <c r="A109" s="345" t="s">
        <v>1840</v>
      </c>
      <c r="B109" s="345"/>
      <c r="C109" s="345"/>
      <c r="D109" s="345"/>
      <c r="E109" s="345" t="s">
        <v>1841</v>
      </c>
      <c r="F109" s="345"/>
      <c r="G109" s="345"/>
      <c r="H109" s="345"/>
      <c r="I109" s="345"/>
      <c r="J109" s="345"/>
      <c r="K109" s="345"/>
      <c r="L109" s="345"/>
      <c r="M109" s="345"/>
      <c r="N109" s="345"/>
      <c r="O109" s="345"/>
      <c r="P109" s="345"/>
      <c r="Q109" s="345"/>
      <c r="R109" s="345"/>
      <c r="S109" s="345"/>
      <c r="T109" s="345"/>
      <c r="U109" s="345"/>
      <c r="V109" s="345"/>
      <c r="W109" s="345"/>
      <c r="X109" s="353" t="s">
        <v>1842</v>
      </c>
      <c r="Y109" s="353"/>
      <c r="Z109" s="353"/>
      <c r="AA109" s="353" t="s">
        <v>1843</v>
      </c>
      <c r="AB109" s="353"/>
      <c r="AC109" s="353"/>
      <c r="AD109" s="353"/>
      <c r="AE109" s="353" t="s">
        <v>1844</v>
      </c>
      <c r="AF109" s="353"/>
      <c r="AG109" s="353"/>
    </row>
    <row r="110" spans="1:33" ht="13.5" thickBot="1">
      <c r="A110" s="356" t="s">
        <v>1845</v>
      </c>
      <c r="B110" s="356"/>
      <c r="C110" s="356"/>
      <c r="D110" s="356"/>
      <c r="E110" s="356" t="s">
        <v>1846</v>
      </c>
      <c r="F110" s="356"/>
      <c r="G110" s="356"/>
      <c r="H110" s="356"/>
      <c r="I110" s="356"/>
      <c r="J110" s="356"/>
      <c r="K110" s="356"/>
      <c r="L110" s="356"/>
      <c r="M110" s="356"/>
      <c r="N110" s="356"/>
      <c r="O110" s="356"/>
      <c r="P110" s="356"/>
      <c r="Q110" s="356"/>
      <c r="R110" s="356"/>
      <c r="S110" s="356"/>
      <c r="T110" s="356"/>
      <c r="U110" s="356"/>
      <c r="V110" s="356"/>
      <c r="W110" s="356"/>
      <c r="X110" s="357" t="s">
        <v>1847</v>
      </c>
      <c r="Y110" s="357"/>
      <c r="Z110" s="357"/>
      <c r="AA110" s="357" t="s">
        <v>1848</v>
      </c>
      <c r="AB110" s="357"/>
      <c r="AC110" s="357"/>
      <c r="AD110" s="357"/>
      <c r="AE110" s="357" t="s">
        <v>1849</v>
      </c>
      <c r="AF110" s="357"/>
      <c r="AG110" s="357"/>
    </row>
    <row r="111" spans="1:33" ht="10.5" customHeight="1">
      <c r="A111" s="354" t="s">
        <v>1850</v>
      </c>
      <c r="B111" s="354"/>
      <c r="C111" s="354"/>
      <c r="D111" s="354"/>
      <c r="E111" s="354" t="s">
        <v>1851</v>
      </c>
      <c r="F111" s="354"/>
      <c r="G111" s="354"/>
      <c r="H111" s="354"/>
      <c r="I111" s="354"/>
      <c r="J111" s="354"/>
      <c r="K111" s="354"/>
      <c r="L111" s="354"/>
      <c r="M111" s="354"/>
      <c r="N111" s="354"/>
      <c r="O111" s="354"/>
      <c r="P111" s="354"/>
      <c r="Q111" s="354"/>
      <c r="R111" s="354"/>
      <c r="S111" s="354"/>
      <c r="T111" s="354"/>
      <c r="U111" s="354"/>
      <c r="V111" s="354"/>
      <c r="W111" s="354"/>
      <c r="X111" s="355" t="s">
        <v>1852</v>
      </c>
      <c r="Y111" s="355"/>
      <c r="Z111" s="355"/>
      <c r="AA111" s="355" t="s">
        <v>1853</v>
      </c>
      <c r="AB111" s="355"/>
      <c r="AC111" s="355"/>
      <c r="AD111" s="355"/>
      <c r="AE111" s="355" t="s">
        <v>1854</v>
      </c>
      <c r="AF111" s="355"/>
      <c r="AG111" s="355"/>
    </row>
    <row r="112" spans="1:33" ht="10.5" customHeight="1">
      <c r="A112" s="343" t="s">
        <v>1855</v>
      </c>
      <c r="B112" s="343"/>
      <c r="C112" s="343"/>
      <c r="D112" s="343"/>
      <c r="E112" s="343" t="s">
        <v>1856</v>
      </c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52" t="s">
        <v>1857</v>
      </c>
      <c r="Y112" s="352"/>
      <c r="Z112" s="352"/>
      <c r="AA112" s="352" t="s">
        <v>1858</v>
      </c>
      <c r="AB112" s="352"/>
      <c r="AC112" s="352"/>
      <c r="AD112" s="352"/>
      <c r="AE112" s="352" t="s">
        <v>1859</v>
      </c>
      <c r="AF112" s="352"/>
      <c r="AG112" s="352"/>
    </row>
    <row r="113" spans="1:33" ht="10.5" customHeight="1">
      <c r="A113" s="343" t="s">
        <v>1860</v>
      </c>
      <c r="B113" s="343"/>
      <c r="C113" s="343"/>
      <c r="D113" s="343"/>
      <c r="E113" s="343" t="s">
        <v>1861</v>
      </c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52" t="s">
        <v>1862</v>
      </c>
      <c r="Y113" s="352"/>
      <c r="Z113" s="352"/>
      <c r="AA113" s="352" t="s">
        <v>1863</v>
      </c>
      <c r="AB113" s="352"/>
      <c r="AC113" s="352"/>
      <c r="AD113" s="352"/>
      <c r="AE113" s="352" t="s">
        <v>1864</v>
      </c>
      <c r="AF113" s="352"/>
      <c r="AG113" s="352"/>
    </row>
    <row r="114" spans="1:33" ht="10.5" customHeight="1">
      <c r="A114" s="343" t="s">
        <v>1865</v>
      </c>
      <c r="B114" s="343"/>
      <c r="C114" s="343"/>
      <c r="D114" s="343"/>
      <c r="E114" s="343" t="s">
        <v>1866</v>
      </c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52" t="s">
        <v>1867</v>
      </c>
      <c r="Y114" s="352"/>
      <c r="Z114" s="352"/>
      <c r="AA114" s="352" t="s">
        <v>1868</v>
      </c>
      <c r="AB114" s="352"/>
      <c r="AC114" s="352"/>
      <c r="AD114" s="352"/>
      <c r="AE114" s="352" t="s">
        <v>1869</v>
      </c>
      <c r="AF114" s="352"/>
      <c r="AG114" s="352"/>
    </row>
    <row r="115" spans="1:33" ht="12.75" customHeight="1" thickBot="1">
      <c r="A115" s="345" t="s">
        <v>1870</v>
      </c>
      <c r="B115" s="345"/>
      <c r="C115" s="345"/>
      <c r="D115" s="345"/>
      <c r="E115" s="345" t="s">
        <v>1871</v>
      </c>
      <c r="F115" s="345"/>
      <c r="G115" s="345"/>
      <c r="H115" s="345"/>
      <c r="I115" s="345"/>
      <c r="J115" s="345"/>
      <c r="K115" s="345"/>
      <c r="L115" s="345"/>
      <c r="M115" s="345"/>
      <c r="N115" s="345"/>
      <c r="O115" s="345"/>
      <c r="P115" s="345"/>
      <c r="Q115" s="345"/>
      <c r="R115" s="345"/>
      <c r="S115" s="345"/>
      <c r="T115" s="345"/>
      <c r="U115" s="345"/>
      <c r="V115" s="345"/>
      <c r="W115" s="345"/>
      <c r="X115" s="353" t="s">
        <v>1872</v>
      </c>
      <c r="Y115" s="353"/>
      <c r="Z115" s="353"/>
      <c r="AA115" s="353" t="s">
        <v>1873</v>
      </c>
      <c r="AB115" s="353"/>
      <c r="AC115" s="353"/>
      <c r="AD115" s="353"/>
      <c r="AE115" s="353" t="s">
        <v>1874</v>
      </c>
      <c r="AF115" s="353"/>
      <c r="AG115" s="353"/>
    </row>
    <row r="116" spans="1:33" ht="10.5" customHeight="1">
      <c r="A116" s="354" t="s">
        <v>1875</v>
      </c>
      <c r="B116" s="354"/>
      <c r="C116" s="354"/>
      <c r="D116" s="354"/>
      <c r="E116" s="354" t="s">
        <v>1876</v>
      </c>
      <c r="F116" s="354"/>
      <c r="G116" s="354"/>
      <c r="H116" s="354"/>
      <c r="I116" s="354"/>
      <c r="J116" s="354"/>
      <c r="K116" s="354"/>
      <c r="L116" s="354"/>
      <c r="M116" s="354"/>
      <c r="N116" s="354"/>
      <c r="O116" s="354"/>
      <c r="P116" s="354"/>
      <c r="Q116" s="354"/>
      <c r="R116" s="354"/>
      <c r="S116" s="354"/>
      <c r="T116" s="354"/>
      <c r="U116" s="354"/>
      <c r="V116" s="354"/>
      <c r="W116" s="354"/>
      <c r="X116" s="355" t="s">
        <v>1877</v>
      </c>
      <c r="Y116" s="355"/>
      <c r="Z116" s="355"/>
      <c r="AA116" s="355" t="s">
        <v>1878</v>
      </c>
      <c r="AB116" s="355"/>
      <c r="AC116" s="355"/>
      <c r="AD116" s="355"/>
      <c r="AE116" s="355" t="s">
        <v>1879</v>
      </c>
      <c r="AF116" s="355"/>
      <c r="AG116" s="355"/>
    </row>
    <row r="117" spans="1:33" ht="10.5" customHeight="1">
      <c r="A117" s="343" t="s">
        <v>1880</v>
      </c>
      <c r="B117" s="343"/>
      <c r="C117" s="343"/>
      <c r="D117" s="343"/>
      <c r="E117" s="343" t="s">
        <v>1881</v>
      </c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52" t="s">
        <v>1882</v>
      </c>
      <c r="Y117" s="352"/>
      <c r="Z117" s="352"/>
      <c r="AA117" s="352" t="s">
        <v>1883</v>
      </c>
      <c r="AB117" s="352"/>
      <c r="AC117" s="352"/>
      <c r="AD117" s="352"/>
      <c r="AE117" s="352" t="s">
        <v>1884</v>
      </c>
      <c r="AF117" s="352"/>
      <c r="AG117" s="352"/>
    </row>
    <row r="118" spans="1:33" ht="10.5" customHeight="1">
      <c r="A118" s="343" t="s">
        <v>1885</v>
      </c>
      <c r="B118" s="343"/>
      <c r="C118" s="343"/>
      <c r="D118" s="343"/>
      <c r="E118" s="343" t="s">
        <v>1886</v>
      </c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52" t="s">
        <v>1887</v>
      </c>
      <c r="Y118" s="352"/>
      <c r="Z118" s="352"/>
      <c r="AA118" s="352" t="s">
        <v>1888</v>
      </c>
      <c r="AB118" s="352"/>
      <c r="AC118" s="352"/>
      <c r="AD118" s="352"/>
      <c r="AE118" s="352" t="s">
        <v>1889</v>
      </c>
      <c r="AF118" s="352"/>
      <c r="AG118" s="352"/>
    </row>
    <row r="119" spans="1:33" ht="10.5" customHeight="1">
      <c r="A119" s="343" t="s">
        <v>1890</v>
      </c>
      <c r="B119" s="343"/>
      <c r="C119" s="343"/>
      <c r="D119" s="343"/>
      <c r="E119" s="343" t="s">
        <v>1891</v>
      </c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52" t="s">
        <v>1892</v>
      </c>
      <c r="Y119" s="352"/>
      <c r="Z119" s="352"/>
      <c r="AA119" s="352" t="s">
        <v>1893</v>
      </c>
      <c r="AB119" s="352"/>
      <c r="AC119" s="352"/>
      <c r="AD119" s="352"/>
      <c r="AE119" s="352" t="s">
        <v>1894</v>
      </c>
      <c r="AF119" s="352"/>
      <c r="AG119" s="352"/>
    </row>
    <row r="120" spans="1:33" ht="12.75" customHeight="1" thickBot="1">
      <c r="A120" s="345" t="s">
        <v>1895</v>
      </c>
      <c r="B120" s="345"/>
      <c r="C120" s="345"/>
      <c r="D120" s="345"/>
      <c r="E120" s="345" t="s">
        <v>1896</v>
      </c>
      <c r="F120" s="345"/>
      <c r="G120" s="345"/>
      <c r="H120" s="345"/>
      <c r="I120" s="345"/>
      <c r="J120" s="345"/>
      <c r="K120" s="345"/>
      <c r="L120" s="345"/>
      <c r="M120" s="345"/>
      <c r="N120" s="345"/>
      <c r="O120" s="345"/>
      <c r="P120" s="345"/>
      <c r="Q120" s="345"/>
      <c r="R120" s="345"/>
      <c r="S120" s="345"/>
      <c r="T120" s="345"/>
      <c r="U120" s="345"/>
      <c r="V120" s="345"/>
      <c r="W120" s="345"/>
      <c r="X120" s="353" t="s">
        <v>1897</v>
      </c>
      <c r="Y120" s="353"/>
      <c r="Z120" s="353"/>
      <c r="AA120" s="353" t="s">
        <v>1898</v>
      </c>
      <c r="AB120" s="353"/>
      <c r="AC120" s="353"/>
      <c r="AD120" s="353"/>
      <c r="AE120" s="353" t="s">
        <v>1899</v>
      </c>
      <c r="AF120" s="353"/>
      <c r="AG120" s="353"/>
    </row>
    <row r="121" spans="1:33" ht="10.5" customHeight="1">
      <c r="A121" s="354" t="s">
        <v>1900</v>
      </c>
      <c r="B121" s="354"/>
      <c r="C121" s="354"/>
      <c r="D121" s="354"/>
      <c r="E121" s="354" t="s">
        <v>1901</v>
      </c>
      <c r="F121" s="354"/>
      <c r="G121" s="354"/>
      <c r="H121" s="354"/>
      <c r="I121" s="354"/>
      <c r="J121" s="354"/>
      <c r="K121" s="354"/>
      <c r="L121" s="354"/>
      <c r="M121" s="354"/>
      <c r="N121" s="354"/>
      <c r="O121" s="354"/>
      <c r="P121" s="354"/>
      <c r="Q121" s="354"/>
      <c r="R121" s="354"/>
      <c r="S121" s="354"/>
      <c r="T121" s="354"/>
      <c r="U121" s="354"/>
      <c r="V121" s="354"/>
      <c r="W121" s="354"/>
      <c r="X121" s="355" t="s">
        <v>1902</v>
      </c>
      <c r="Y121" s="355"/>
      <c r="Z121" s="355"/>
      <c r="AA121" s="355" t="s">
        <v>1903</v>
      </c>
      <c r="AB121" s="355"/>
      <c r="AC121" s="355"/>
      <c r="AD121" s="355"/>
      <c r="AE121" s="355" t="s">
        <v>1904</v>
      </c>
      <c r="AF121" s="355"/>
      <c r="AG121" s="355"/>
    </row>
    <row r="122" spans="1:33" ht="10.5" customHeight="1">
      <c r="A122" s="343" t="s">
        <v>1905</v>
      </c>
      <c r="B122" s="343"/>
      <c r="C122" s="343"/>
      <c r="D122" s="343"/>
      <c r="E122" s="343" t="s">
        <v>1906</v>
      </c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52" t="s">
        <v>1907</v>
      </c>
      <c r="Y122" s="352"/>
      <c r="Z122" s="352"/>
      <c r="AA122" s="352" t="s">
        <v>1908</v>
      </c>
      <c r="AB122" s="352"/>
      <c r="AC122" s="352"/>
      <c r="AD122" s="352"/>
      <c r="AE122" s="352" t="s">
        <v>1909</v>
      </c>
      <c r="AF122" s="352"/>
      <c r="AG122" s="352"/>
    </row>
    <row r="123" spans="1:33" ht="10.5" customHeight="1">
      <c r="A123" s="343" t="s">
        <v>1910</v>
      </c>
      <c r="B123" s="343"/>
      <c r="C123" s="343"/>
      <c r="D123" s="343"/>
      <c r="E123" s="343" t="s">
        <v>1911</v>
      </c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52" t="s">
        <v>1912</v>
      </c>
      <c r="Y123" s="352"/>
      <c r="Z123" s="352"/>
      <c r="AA123" s="352" t="s">
        <v>1913</v>
      </c>
      <c r="AB123" s="352"/>
      <c r="AC123" s="352"/>
      <c r="AD123" s="352"/>
      <c r="AE123" s="352" t="s">
        <v>1914</v>
      </c>
      <c r="AF123" s="352"/>
      <c r="AG123" s="352"/>
    </row>
    <row r="124" spans="1:33" ht="10.5" customHeight="1">
      <c r="A124" s="343" t="s">
        <v>1915</v>
      </c>
      <c r="B124" s="343"/>
      <c r="C124" s="343"/>
      <c r="D124" s="343"/>
      <c r="E124" s="343" t="s">
        <v>1916</v>
      </c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52" t="s">
        <v>1917</v>
      </c>
      <c r="Y124" s="352"/>
      <c r="Z124" s="352"/>
      <c r="AA124" s="352" t="s">
        <v>1918</v>
      </c>
      <c r="AB124" s="352"/>
      <c r="AC124" s="352"/>
      <c r="AD124" s="352"/>
      <c r="AE124" s="352" t="s">
        <v>1919</v>
      </c>
      <c r="AF124" s="352"/>
      <c r="AG124" s="352"/>
    </row>
    <row r="125" spans="1:33" ht="10.5" customHeight="1">
      <c r="A125" s="343" t="s">
        <v>1920</v>
      </c>
      <c r="B125" s="343"/>
      <c r="C125" s="343"/>
      <c r="D125" s="343"/>
      <c r="E125" s="343" t="s">
        <v>1921</v>
      </c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52" t="s">
        <v>1922</v>
      </c>
      <c r="Y125" s="352"/>
      <c r="Z125" s="352"/>
      <c r="AA125" s="352" t="s">
        <v>1923</v>
      </c>
      <c r="AB125" s="352"/>
      <c r="AC125" s="352"/>
      <c r="AD125" s="352"/>
      <c r="AE125" s="352" t="s">
        <v>1924</v>
      </c>
      <c r="AF125" s="352"/>
      <c r="AG125" s="352"/>
    </row>
    <row r="126" spans="1:33" ht="10.5" customHeight="1">
      <c r="A126" s="343" t="s">
        <v>1925</v>
      </c>
      <c r="B126" s="343"/>
      <c r="C126" s="343"/>
      <c r="D126" s="343"/>
      <c r="E126" s="343" t="s">
        <v>1926</v>
      </c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52" t="s">
        <v>1927</v>
      </c>
      <c r="Y126" s="352"/>
      <c r="Z126" s="352"/>
      <c r="AA126" s="352" t="s">
        <v>1928</v>
      </c>
      <c r="AB126" s="352"/>
      <c r="AC126" s="352"/>
      <c r="AD126" s="352"/>
      <c r="AE126" s="352" t="s">
        <v>1929</v>
      </c>
      <c r="AF126" s="352"/>
      <c r="AG126" s="352"/>
    </row>
    <row r="127" spans="1:33" ht="10.5" customHeight="1">
      <c r="A127" s="343" t="s">
        <v>1930</v>
      </c>
      <c r="B127" s="343"/>
      <c r="C127" s="343"/>
      <c r="D127" s="343"/>
      <c r="E127" s="343" t="s">
        <v>1931</v>
      </c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52" t="s">
        <v>1932</v>
      </c>
      <c r="Y127" s="352"/>
      <c r="Z127" s="352"/>
      <c r="AA127" s="352" t="s">
        <v>1933</v>
      </c>
      <c r="AB127" s="352"/>
      <c r="AC127" s="352"/>
      <c r="AD127" s="352"/>
      <c r="AE127" s="352" t="s">
        <v>1934</v>
      </c>
      <c r="AF127" s="352"/>
      <c r="AG127" s="352"/>
    </row>
    <row r="128" spans="1:33" ht="12.75" customHeight="1" thickBot="1">
      <c r="A128" s="345" t="s">
        <v>1935</v>
      </c>
      <c r="B128" s="345"/>
      <c r="C128" s="345"/>
      <c r="D128" s="345"/>
      <c r="E128" s="345" t="s">
        <v>1936</v>
      </c>
      <c r="F128" s="345"/>
      <c r="G128" s="345"/>
      <c r="H128" s="345"/>
      <c r="I128" s="345"/>
      <c r="J128" s="345"/>
      <c r="K128" s="345"/>
      <c r="L128" s="345"/>
      <c r="M128" s="345"/>
      <c r="N128" s="345"/>
      <c r="O128" s="345"/>
      <c r="P128" s="345"/>
      <c r="Q128" s="345"/>
      <c r="R128" s="345"/>
      <c r="S128" s="345"/>
      <c r="T128" s="345"/>
      <c r="U128" s="345"/>
      <c r="V128" s="345"/>
      <c r="W128" s="345"/>
      <c r="X128" s="353" t="s">
        <v>1937</v>
      </c>
      <c r="Y128" s="353"/>
      <c r="Z128" s="353"/>
      <c r="AA128" s="353" t="s">
        <v>1938</v>
      </c>
      <c r="AB128" s="353"/>
      <c r="AC128" s="353"/>
      <c r="AD128" s="353"/>
      <c r="AE128" s="353" t="s">
        <v>1939</v>
      </c>
      <c r="AF128" s="353"/>
      <c r="AG128" s="353"/>
    </row>
    <row r="129" spans="1:33" ht="10.5" customHeight="1">
      <c r="A129" s="354" t="s">
        <v>1940</v>
      </c>
      <c r="B129" s="354"/>
      <c r="C129" s="354"/>
      <c r="D129" s="354"/>
      <c r="E129" s="354" t="s">
        <v>1941</v>
      </c>
      <c r="F129" s="354"/>
      <c r="G129" s="354"/>
      <c r="H129" s="354"/>
      <c r="I129" s="354"/>
      <c r="J129" s="354"/>
      <c r="K129" s="354"/>
      <c r="L129" s="354"/>
      <c r="M129" s="354"/>
      <c r="N129" s="354"/>
      <c r="O129" s="354"/>
      <c r="P129" s="354"/>
      <c r="Q129" s="354"/>
      <c r="R129" s="354"/>
      <c r="S129" s="354"/>
      <c r="T129" s="354"/>
      <c r="U129" s="354"/>
      <c r="V129" s="354"/>
      <c r="W129" s="354"/>
      <c r="X129" s="355" t="s">
        <v>1942</v>
      </c>
      <c r="Y129" s="355"/>
      <c r="Z129" s="355"/>
      <c r="AA129" s="355" t="s">
        <v>1943</v>
      </c>
      <c r="AB129" s="355"/>
      <c r="AC129" s="355"/>
      <c r="AD129" s="355"/>
      <c r="AE129" s="355" t="s">
        <v>1944</v>
      </c>
      <c r="AF129" s="355"/>
      <c r="AG129" s="355"/>
    </row>
    <row r="130" spans="1:33" ht="10.5" customHeight="1">
      <c r="A130" s="343" t="s">
        <v>1945</v>
      </c>
      <c r="B130" s="343"/>
      <c r="C130" s="343"/>
      <c r="D130" s="343"/>
      <c r="E130" s="343" t="s">
        <v>1946</v>
      </c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52" t="s">
        <v>1947</v>
      </c>
      <c r="Y130" s="352"/>
      <c r="Z130" s="352"/>
      <c r="AA130" s="352" t="s">
        <v>1948</v>
      </c>
      <c r="AB130" s="352"/>
      <c r="AC130" s="352"/>
      <c r="AD130" s="352"/>
      <c r="AE130" s="352" t="s">
        <v>1949</v>
      </c>
      <c r="AF130" s="352"/>
      <c r="AG130" s="352"/>
    </row>
    <row r="131" spans="1:33" ht="10.5" customHeight="1">
      <c r="A131" s="343" t="s">
        <v>1950</v>
      </c>
      <c r="B131" s="343"/>
      <c r="C131" s="343"/>
      <c r="D131" s="343"/>
      <c r="E131" s="343" t="s">
        <v>1951</v>
      </c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52" t="s">
        <v>1952</v>
      </c>
      <c r="Y131" s="352"/>
      <c r="Z131" s="352"/>
      <c r="AA131" s="352" t="s">
        <v>1953</v>
      </c>
      <c r="AB131" s="352"/>
      <c r="AC131" s="352"/>
      <c r="AD131" s="352"/>
      <c r="AE131" s="352" t="s">
        <v>1954</v>
      </c>
      <c r="AF131" s="352"/>
      <c r="AG131" s="352"/>
    </row>
    <row r="132" spans="1:33" ht="10.5" customHeight="1">
      <c r="A132" s="343" t="s">
        <v>1955</v>
      </c>
      <c r="B132" s="343"/>
      <c r="C132" s="343"/>
      <c r="D132" s="343"/>
      <c r="E132" s="343" t="s">
        <v>1956</v>
      </c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52" t="s">
        <v>1957</v>
      </c>
      <c r="Y132" s="352"/>
      <c r="Z132" s="352"/>
      <c r="AA132" s="352" t="s">
        <v>1958</v>
      </c>
      <c r="AB132" s="352"/>
      <c r="AC132" s="352"/>
      <c r="AD132" s="352"/>
      <c r="AE132" s="352" t="s">
        <v>1959</v>
      </c>
      <c r="AF132" s="352"/>
      <c r="AG132" s="352"/>
    </row>
    <row r="133" spans="1:33" ht="12.75" customHeight="1" thickBot="1">
      <c r="A133" s="345" t="s">
        <v>1960</v>
      </c>
      <c r="B133" s="345"/>
      <c r="C133" s="345"/>
      <c r="D133" s="345"/>
      <c r="E133" s="345" t="s">
        <v>1961</v>
      </c>
      <c r="F133" s="345"/>
      <c r="G133" s="345"/>
      <c r="H133" s="345"/>
      <c r="I133" s="345"/>
      <c r="J133" s="345"/>
      <c r="K133" s="345"/>
      <c r="L133" s="345"/>
      <c r="M133" s="345"/>
      <c r="N133" s="345"/>
      <c r="O133" s="345"/>
      <c r="P133" s="345"/>
      <c r="Q133" s="345"/>
      <c r="R133" s="345"/>
      <c r="S133" s="345"/>
      <c r="T133" s="345"/>
      <c r="U133" s="345"/>
      <c r="V133" s="345"/>
      <c r="W133" s="345"/>
      <c r="X133" s="353" t="s">
        <v>1962</v>
      </c>
      <c r="Y133" s="353"/>
      <c r="Z133" s="353"/>
      <c r="AA133" s="353" t="s">
        <v>1963</v>
      </c>
      <c r="AB133" s="353"/>
      <c r="AC133" s="353"/>
      <c r="AD133" s="353"/>
      <c r="AE133" s="353" t="s">
        <v>1964</v>
      </c>
      <c r="AF133" s="353"/>
      <c r="AG133" s="353"/>
    </row>
    <row r="134" spans="1:33" ht="10.5" customHeight="1">
      <c r="A134" s="354" t="s">
        <v>1965</v>
      </c>
      <c r="B134" s="354"/>
      <c r="C134" s="354"/>
      <c r="D134" s="354"/>
      <c r="E134" s="354" t="s">
        <v>1966</v>
      </c>
      <c r="F134" s="354"/>
      <c r="G134" s="354"/>
      <c r="H134" s="354"/>
      <c r="I134" s="354"/>
      <c r="J134" s="354"/>
      <c r="K134" s="354"/>
      <c r="L134" s="354"/>
      <c r="M134" s="354"/>
      <c r="N134" s="354"/>
      <c r="O134" s="354"/>
      <c r="P134" s="354"/>
      <c r="Q134" s="354"/>
      <c r="R134" s="354"/>
      <c r="S134" s="354"/>
      <c r="T134" s="354"/>
      <c r="U134" s="354"/>
      <c r="V134" s="354"/>
      <c r="W134" s="354"/>
      <c r="X134" s="355" t="s">
        <v>1967</v>
      </c>
      <c r="Y134" s="355"/>
      <c r="Z134" s="355"/>
      <c r="AA134" s="355" t="s">
        <v>1968</v>
      </c>
      <c r="AB134" s="355"/>
      <c r="AC134" s="355"/>
      <c r="AD134" s="355"/>
      <c r="AE134" s="355" t="s">
        <v>1969</v>
      </c>
      <c r="AF134" s="355"/>
      <c r="AG134" s="355"/>
    </row>
    <row r="135" spans="1:33" ht="10.5" customHeight="1">
      <c r="A135" s="343" t="s">
        <v>1970</v>
      </c>
      <c r="B135" s="343"/>
      <c r="C135" s="343"/>
      <c r="D135" s="343"/>
      <c r="E135" s="343" t="s">
        <v>1971</v>
      </c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52" t="s">
        <v>1670</v>
      </c>
      <c r="Y135" s="352"/>
      <c r="Z135" s="352"/>
      <c r="AA135" s="352" t="s">
        <v>1958</v>
      </c>
      <c r="AB135" s="352"/>
      <c r="AC135" s="352"/>
      <c r="AD135" s="352"/>
      <c r="AE135" s="352" t="s">
        <v>1972</v>
      </c>
      <c r="AF135" s="352"/>
      <c r="AG135" s="352"/>
    </row>
    <row r="136" spans="1:33" ht="10.5" customHeight="1">
      <c r="A136" s="343" t="s">
        <v>1973</v>
      </c>
      <c r="B136" s="343"/>
      <c r="C136" s="343"/>
      <c r="D136" s="343"/>
      <c r="E136" s="343" t="s">
        <v>1974</v>
      </c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52" t="s">
        <v>1975</v>
      </c>
      <c r="Y136" s="352"/>
      <c r="Z136" s="352"/>
      <c r="AA136" s="352" t="s">
        <v>1976</v>
      </c>
      <c r="AB136" s="352"/>
      <c r="AC136" s="352"/>
      <c r="AD136" s="352"/>
      <c r="AE136" s="352" t="s">
        <v>1977</v>
      </c>
      <c r="AF136" s="352"/>
      <c r="AG136" s="352"/>
    </row>
    <row r="137" spans="1:33" ht="13.5" thickBot="1">
      <c r="A137" s="345" t="s">
        <v>1978</v>
      </c>
      <c r="B137" s="345"/>
      <c r="C137" s="345"/>
      <c r="D137" s="345"/>
      <c r="E137" s="345" t="s">
        <v>1979</v>
      </c>
      <c r="F137" s="345"/>
      <c r="G137" s="345"/>
      <c r="H137" s="345"/>
      <c r="I137" s="345"/>
      <c r="J137" s="345"/>
      <c r="K137" s="345"/>
      <c r="L137" s="345"/>
      <c r="M137" s="345"/>
      <c r="N137" s="345"/>
      <c r="O137" s="345"/>
      <c r="P137" s="345"/>
      <c r="Q137" s="345"/>
      <c r="R137" s="345"/>
      <c r="S137" s="345"/>
      <c r="T137" s="345"/>
      <c r="U137" s="345"/>
      <c r="V137" s="345"/>
      <c r="W137" s="345"/>
      <c r="X137" s="353" t="s">
        <v>1980</v>
      </c>
      <c r="Y137" s="353"/>
      <c r="Z137" s="353"/>
      <c r="AA137" s="353" t="s">
        <v>1981</v>
      </c>
      <c r="AB137" s="353"/>
      <c r="AC137" s="353"/>
      <c r="AD137" s="353"/>
      <c r="AE137" s="353" t="s">
        <v>1982</v>
      </c>
      <c r="AF137" s="353"/>
      <c r="AG137" s="353"/>
    </row>
    <row r="138" spans="1:33" ht="13.5" thickBot="1">
      <c r="A138" s="356" t="s">
        <v>1983</v>
      </c>
      <c r="B138" s="356"/>
      <c r="C138" s="356"/>
      <c r="D138" s="356"/>
      <c r="E138" s="356" t="s">
        <v>1984</v>
      </c>
      <c r="F138" s="356"/>
      <c r="G138" s="356"/>
      <c r="H138" s="356"/>
      <c r="I138" s="356"/>
      <c r="J138" s="356"/>
      <c r="K138" s="356"/>
      <c r="L138" s="356"/>
      <c r="M138" s="356"/>
      <c r="N138" s="356"/>
      <c r="O138" s="356"/>
      <c r="P138" s="356"/>
      <c r="Q138" s="356"/>
      <c r="R138" s="356"/>
      <c r="S138" s="356"/>
      <c r="T138" s="356"/>
      <c r="U138" s="356"/>
      <c r="V138" s="356"/>
      <c r="W138" s="356"/>
      <c r="X138" s="357" t="s">
        <v>1985</v>
      </c>
      <c r="Y138" s="357"/>
      <c r="Z138" s="357"/>
      <c r="AA138" s="357" t="s">
        <v>1986</v>
      </c>
      <c r="AB138" s="357"/>
      <c r="AC138" s="357"/>
      <c r="AD138" s="357"/>
      <c r="AE138" s="357" t="s">
        <v>1987</v>
      </c>
      <c r="AF138" s="357"/>
      <c r="AG138" s="357"/>
    </row>
    <row r="139" spans="1:33" ht="9.75" customHeight="1" thickBot="1">
      <c r="A139" s="350" t="s">
        <v>1602</v>
      </c>
      <c r="B139" s="350"/>
      <c r="C139" s="350"/>
      <c r="D139" s="350"/>
      <c r="E139" s="350"/>
      <c r="F139" s="350"/>
      <c r="G139" s="350"/>
      <c r="H139" s="350"/>
      <c r="I139" s="350"/>
      <c r="J139" s="350"/>
      <c r="K139" s="350"/>
      <c r="L139" s="350"/>
      <c r="M139" s="350"/>
      <c r="N139" s="350"/>
      <c r="O139" s="350"/>
      <c r="P139" s="350"/>
      <c r="Q139" s="350"/>
      <c r="R139" s="350"/>
      <c r="S139" s="350"/>
      <c r="T139" s="350"/>
      <c r="U139" s="350"/>
      <c r="V139" s="350"/>
      <c r="W139" s="350"/>
      <c r="X139" s="351" t="s">
        <v>1575</v>
      </c>
      <c r="Y139" s="351"/>
      <c r="Z139" s="351"/>
      <c r="AA139" s="351" t="s">
        <v>1576</v>
      </c>
      <c r="AB139" s="351"/>
      <c r="AC139" s="351"/>
      <c r="AD139" s="351"/>
      <c r="AE139" s="351" t="s">
        <v>1577</v>
      </c>
      <c r="AF139" s="351"/>
      <c r="AG139" s="351"/>
    </row>
    <row r="140" spans="1:33" ht="10.5" customHeight="1">
      <c r="A140" s="354" t="s">
        <v>1988</v>
      </c>
      <c r="B140" s="354"/>
      <c r="C140" s="354"/>
      <c r="D140" s="354"/>
      <c r="E140" s="354" t="s">
        <v>1989</v>
      </c>
      <c r="F140" s="354"/>
      <c r="G140" s="354"/>
      <c r="H140" s="354"/>
      <c r="I140" s="354"/>
      <c r="J140" s="354"/>
      <c r="K140" s="354"/>
      <c r="L140" s="354"/>
      <c r="M140" s="354"/>
      <c r="N140" s="354"/>
      <c r="O140" s="354"/>
      <c r="P140" s="354"/>
      <c r="Q140" s="354"/>
      <c r="R140" s="354"/>
      <c r="S140" s="354"/>
      <c r="T140" s="354"/>
      <c r="U140" s="354"/>
      <c r="V140" s="354"/>
      <c r="W140" s="354"/>
      <c r="X140" s="355"/>
      <c r="Y140" s="355"/>
      <c r="Z140" s="355"/>
      <c r="AA140" s="355"/>
      <c r="AB140" s="355"/>
      <c r="AC140" s="355"/>
      <c r="AD140" s="355"/>
      <c r="AE140" s="355" t="s">
        <v>1990</v>
      </c>
      <c r="AF140" s="355"/>
      <c r="AG140" s="355"/>
    </row>
    <row r="141" spans="1:33" ht="10.5" customHeight="1">
      <c r="A141" s="343" t="s">
        <v>1991</v>
      </c>
      <c r="B141" s="343"/>
      <c r="C141" s="343"/>
      <c r="D141" s="343"/>
      <c r="E141" s="343" t="s">
        <v>1992</v>
      </c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343"/>
      <c r="R141" s="343"/>
      <c r="S141" s="343"/>
      <c r="T141" s="343"/>
      <c r="U141" s="343"/>
      <c r="V141" s="343"/>
      <c r="W141" s="343"/>
      <c r="X141" s="352"/>
      <c r="Y141" s="352"/>
      <c r="Z141" s="352"/>
      <c r="AA141" s="352"/>
      <c r="AB141" s="352"/>
      <c r="AC141" s="352"/>
      <c r="AD141" s="352"/>
      <c r="AE141" s="352" t="s">
        <v>1993</v>
      </c>
      <c r="AF141" s="352"/>
      <c r="AG141" s="352"/>
    </row>
    <row r="142" spans="1:33" ht="13.5" thickBot="1">
      <c r="A142" s="345" t="s">
        <v>1994</v>
      </c>
      <c r="B142" s="345"/>
      <c r="C142" s="345"/>
      <c r="D142" s="345"/>
      <c r="E142" s="345" t="s">
        <v>1995</v>
      </c>
      <c r="F142" s="345"/>
      <c r="G142" s="345"/>
      <c r="H142" s="345"/>
      <c r="I142" s="345"/>
      <c r="J142" s="345"/>
      <c r="K142" s="345"/>
      <c r="L142" s="345"/>
      <c r="M142" s="345"/>
      <c r="N142" s="345"/>
      <c r="O142" s="345"/>
      <c r="P142" s="345"/>
      <c r="Q142" s="345"/>
      <c r="R142" s="345"/>
      <c r="S142" s="345"/>
      <c r="T142" s="345"/>
      <c r="U142" s="345"/>
      <c r="V142" s="345"/>
      <c r="W142" s="345"/>
      <c r="X142" s="353"/>
      <c r="Y142" s="353"/>
      <c r="Z142" s="353"/>
      <c r="AA142" s="353"/>
      <c r="AB142" s="353"/>
      <c r="AC142" s="353"/>
      <c r="AD142" s="353"/>
      <c r="AE142" s="353" t="s">
        <v>1996</v>
      </c>
      <c r="AF142" s="353"/>
      <c r="AG142" s="353"/>
    </row>
    <row r="143" spans="1:33" ht="13.5" thickBot="1">
      <c r="A143" s="356" t="s">
        <v>1997</v>
      </c>
      <c r="B143" s="356"/>
      <c r="C143" s="356"/>
      <c r="D143" s="356"/>
      <c r="E143" s="356" t="s">
        <v>1998</v>
      </c>
      <c r="F143" s="356"/>
      <c r="G143" s="356"/>
      <c r="H143" s="356"/>
      <c r="I143" s="356"/>
      <c r="J143" s="356"/>
      <c r="K143" s="356"/>
      <c r="L143" s="356"/>
      <c r="M143" s="356"/>
      <c r="N143" s="356"/>
      <c r="O143" s="356"/>
      <c r="P143" s="356"/>
      <c r="Q143" s="356"/>
      <c r="R143" s="356"/>
      <c r="S143" s="356"/>
      <c r="T143" s="356"/>
      <c r="U143" s="356"/>
      <c r="V143" s="356"/>
      <c r="W143" s="356"/>
      <c r="X143" s="357"/>
      <c r="Y143" s="357"/>
      <c r="Z143" s="357"/>
      <c r="AA143" s="357"/>
      <c r="AB143" s="357"/>
      <c r="AC143" s="357"/>
      <c r="AD143" s="357"/>
      <c r="AE143" s="357" t="s">
        <v>1996</v>
      </c>
      <c r="AF143" s="357"/>
      <c r="AG143" s="357"/>
    </row>
    <row r="144" spans="1:33" ht="10.5" customHeight="1">
      <c r="A144" s="354" t="s">
        <v>1999</v>
      </c>
      <c r="B144" s="354"/>
      <c r="C144" s="354"/>
      <c r="D144" s="354"/>
      <c r="E144" s="354" t="s">
        <v>2000</v>
      </c>
      <c r="F144" s="354"/>
      <c r="G144" s="354"/>
      <c r="H144" s="354"/>
      <c r="I144" s="354"/>
      <c r="J144" s="354"/>
      <c r="K144" s="354"/>
      <c r="L144" s="354"/>
      <c r="M144" s="354"/>
      <c r="N144" s="354"/>
      <c r="O144" s="354"/>
      <c r="P144" s="354"/>
      <c r="Q144" s="354"/>
      <c r="R144" s="354"/>
      <c r="S144" s="354"/>
      <c r="T144" s="354"/>
      <c r="U144" s="354"/>
      <c r="V144" s="354"/>
      <c r="W144" s="354"/>
      <c r="X144" s="355" t="s">
        <v>2001</v>
      </c>
      <c r="Y144" s="355"/>
      <c r="Z144" s="355"/>
      <c r="AA144" s="355" t="s">
        <v>2002</v>
      </c>
      <c r="AB144" s="355"/>
      <c r="AC144" s="355"/>
      <c r="AD144" s="355"/>
      <c r="AE144" s="355" t="s">
        <v>2002</v>
      </c>
      <c r="AF144" s="355"/>
      <c r="AG144" s="355"/>
    </row>
    <row r="145" spans="1:33" ht="13.5" thickBot="1">
      <c r="A145" s="345" t="s">
        <v>2003</v>
      </c>
      <c r="B145" s="345"/>
      <c r="C145" s="345"/>
      <c r="D145" s="345"/>
      <c r="E145" s="345" t="s">
        <v>2004</v>
      </c>
      <c r="F145" s="345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345"/>
      <c r="U145" s="345"/>
      <c r="V145" s="345"/>
      <c r="W145" s="345"/>
      <c r="X145" s="353" t="s">
        <v>2001</v>
      </c>
      <c r="Y145" s="353"/>
      <c r="Z145" s="353"/>
      <c r="AA145" s="353" t="s">
        <v>2002</v>
      </c>
      <c r="AB145" s="353"/>
      <c r="AC145" s="353"/>
      <c r="AD145" s="353"/>
      <c r="AE145" s="353" t="s">
        <v>2002</v>
      </c>
      <c r="AF145" s="353"/>
      <c r="AG145" s="353"/>
    </row>
    <row r="146" spans="1:33" ht="10.5" customHeight="1">
      <c r="A146" s="354" t="s">
        <v>2005</v>
      </c>
      <c r="B146" s="354"/>
      <c r="C146" s="354"/>
      <c r="D146" s="354"/>
      <c r="E146" s="354" t="s">
        <v>2006</v>
      </c>
      <c r="F146" s="354"/>
      <c r="G146" s="354"/>
      <c r="H146" s="354"/>
      <c r="I146" s="354"/>
      <c r="J146" s="354"/>
      <c r="K146" s="354"/>
      <c r="L146" s="354"/>
      <c r="M146" s="354"/>
      <c r="N146" s="354"/>
      <c r="O146" s="354"/>
      <c r="P146" s="354"/>
      <c r="Q146" s="354"/>
      <c r="R146" s="354"/>
      <c r="S146" s="354"/>
      <c r="T146" s="354"/>
      <c r="U146" s="354"/>
      <c r="V146" s="354"/>
      <c r="W146" s="354"/>
      <c r="X146" s="355"/>
      <c r="Y146" s="355"/>
      <c r="Z146" s="355"/>
      <c r="AA146" s="355"/>
      <c r="AB146" s="355"/>
      <c r="AC146" s="355"/>
      <c r="AD146" s="355"/>
      <c r="AE146" s="355" t="s">
        <v>2007</v>
      </c>
      <c r="AF146" s="355"/>
      <c r="AG146" s="355"/>
    </row>
    <row r="147" spans="1:33" ht="10.5" customHeight="1">
      <c r="A147" s="343" t="s">
        <v>2008</v>
      </c>
      <c r="B147" s="343"/>
      <c r="C147" s="343"/>
      <c r="D147" s="343"/>
      <c r="E147" s="343" t="s">
        <v>2009</v>
      </c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43"/>
      <c r="U147" s="343"/>
      <c r="V147" s="343"/>
      <c r="W147" s="343"/>
      <c r="X147" s="352" t="s">
        <v>1596</v>
      </c>
      <c r="Y147" s="352"/>
      <c r="Z147" s="352"/>
      <c r="AA147" s="352" t="s">
        <v>1596</v>
      </c>
      <c r="AB147" s="352"/>
      <c r="AC147" s="352"/>
      <c r="AD147" s="352"/>
      <c r="AE147" s="352" t="s">
        <v>2010</v>
      </c>
      <c r="AF147" s="352"/>
      <c r="AG147" s="352"/>
    </row>
    <row r="148" spans="1:33" ht="13.5" thickBot="1">
      <c r="A148" s="345" t="s">
        <v>2011</v>
      </c>
      <c r="B148" s="345"/>
      <c r="C148" s="345"/>
      <c r="D148" s="345"/>
      <c r="E148" s="345" t="s">
        <v>2012</v>
      </c>
      <c r="F148" s="345"/>
      <c r="G148" s="345"/>
      <c r="H148" s="345"/>
      <c r="I148" s="345"/>
      <c r="J148" s="345"/>
      <c r="K148" s="345"/>
      <c r="L148" s="345"/>
      <c r="M148" s="345"/>
      <c r="N148" s="345"/>
      <c r="O148" s="345"/>
      <c r="P148" s="345"/>
      <c r="Q148" s="345"/>
      <c r="R148" s="345"/>
      <c r="S148" s="345"/>
      <c r="T148" s="345"/>
      <c r="U148" s="345"/>
      <c r="V148" s="345"/>
      <c r="W148" s="345"/>
      <c r="X148" s="353" t="s">
        <v>1596</v>
      </c>
      <c r="Y148" s="353"/>
      <c r="Z148" s="353"/>
      <c r="AA148" s="353" t="s">
        <v>1596</v>
      </c>
      <c r="AB148" s="353"/>
      <c r="AC148" s="353"/>
      <c r="AD148" s="353"/>
      <c r="AE148" s="353" t="s">
        <v>1597</v>
      </c>
      <c r="AF148" s="353"/>
      <c r="AG148" s="353"/>
    </row>
    <row r="149" spans="1:33" ht="10.5" customHeight="1">
      <c r="A149" s="354" t="s">
        <v>2013</v>
      </c>
      <c r="B149" s="354"/>
      <c r="C149" s="354"/>
      <c r="D149" s="354"/>
      <c r="E149" s="354" t="s">
        <v>2014</v>
      </c>
      <c r="F149" s="354"/>
      <c r="G149" s="354"/>
      <c r="H149" s="354"/>
      <c r="I149" s="354"/>
      <c r="J149" s="354"/>
      <c r="K149" s="354"/>
      <c r="L149" s="354"/>
      <c r="M149" s="354"/>
      <c r="N149" s="354"/>
      <c r="O149" s="354"/>
      <c r="P149" s="354"/>
      <c r="Q149" s="354"/>
      <c r="R149" s="354"/>
      <c r="S149" s="354"/>
      <c r="T149" s="354"/>
      <c r="U149" s="354"/>
      <c r="V149" s="354"/>
      <c r="W149" s="354"/>
      <c r="X149" s="355" t="s">
        <v>2015</v>
      </c>
      <c r="Y149" s="355"/>
      <c r="Z149" s="355"/>
      <c r="AA149" s="355" t="s">
        <v>2015</v>
      </c>
      <c r="AB149" s="355"/>
      <c r="AC149" s="355"/>
      <c r="AD149" s="355"/>
      <c r="AE149" s="355" t="s">
        <v>2016</v>
      </c>
      <c r="AF149" s="355"/>
      <c r="AG149" s="355"/>
    </row>
    <row r="150" spans="1:33" ht="10.5" customHeight="1">
      <c r="A150" s="343" t="s">
        <v>2017</v>
      </c>
      <c r="B150" s="343"/>
      <c r="C150" s="343"/>
      <c r="D150" s="343"/>
      <c r="E150" s="343" t="s">
        <v>2018</v>
      </c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  <c r="W150" s="343"/>
      <c r="X150" s="352"/>
      <c r="Y150" s="352"/>
      <c r="Z150" s="352"/>
      <c r="AA150" s="352" t="s">
        <v>2019</v>
      </c>
      <c r="AB150" s="352"/>
      <c r="AC150" s="352"/>
      <c r="AD150" s="352"/>
      <c r="AE150" s="352" t="s">
        <v>2020</v>
      </c>
      <c r="AF150" s="352"/>
      <c r="AG150" s="352"/>
    </row>
    <row r="151" spans="1:33" ht="10.5" customHeight="1">
      <c r="A151" s="343" t="s">
        <v>2021</v>
      </c>
      <c r="B151" s="343"/>
      <c r="C151" s="343"/>
      <c r="D151" s="343"/>
      <c r="E151" s="343" t="s">
        <v>2022</v>
      </c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  <c r="W151" s="343"/>
      <c r="X151" s="352"/>
      <c r="Y151" s="352"/>
      <c r="Z151" s="352"/>
      <c r="AA151" s="352"/>
      <c r="AB151" s="352"/>
      <c r="AC151" s="352"/>
      <c r="AD151" s="352"/>
      <c r="AE151" s="352" t="s">
        <v>2023</v>
      </c>
      <c r="AF151" s="352"/>
      <c r="AG151" s="352"/>
    </row>
    <row r="152" spans="1:33" ht="13.5" thickBot="1">
      <c r="A152" s="345" t="s">
        <v>2024</v>
      </c>
      <c r="B152" s="345"/>
      <c r="C152" s="345"/>
      <c r="D152" s="345"/>
      <c r="E152" s="345" t="s">
        <v>2025</v>
      </c>
      <c r="F152" s="345"/>
      <c r="G152" s="345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53" t="s">
        <v>2015</v>
      </c>
      <c r="Y152" s="353"/>
      <c r="Z152" s="353"/>
      <c r="AA152" s="353" t="s">
        <v>2026</v>
      </c>
      <c r="AB152" s="353"/>
      <c r="AC152" s="353"/>
      <c r="AD152" s="353"/>
      <c r="AE152" s="353" t="s">
        <v>2027</v>
      </c>
      <c r="AF152" s="353"/>
      <c r="AG152" s="353"/>
    </row>
    <row r="153" spans="1:33" ht="13.5" thickBot="1">
      <c r="A153" s="356" t="s">
        <v>2028</v>
      </c>
      <c r="B153" s="356"/>
      <c r="C153" s="356"/>
      <c r="D153" s="356"/>
      <c r="E153" s="356" t="s">
        <v>2029</v>
      </c>
      <c r="F153" s="356"/>
      <c r="G153" s="356"/>
      <c r="H153" s="356"/>
      <c r="I153" s="356"/>
      <c r="J153" s="356"/>
      <c r="K153" s="356"/>
      <c r="L153" s="356"/>
      <c r="M153" s="356"/>
      <c r="N153" s="356"/>
      <c r="O153" s="356"/>
      <c r="P153" s="356"/>
      <c r="Q153" s="356"/>
      <c r="R153" s="356"/>
      <c r="S153" s="356"/>
      <c r="T153" s="356"/>
      <c r="U153" s="356"/>
      <c r="V153" s="356"/>
      <c r="W153" s="356"/>
      <c r="X153" s="357" t="s">
        <v>2030</v>
      </c>
      <c r="Y153" s="357"/>
      <c r="Z153" s="357"/>
      <c r="AA153" s="357" t="s">
        <v>2031</v>
      </c>
      <c r="AB153" s="357"/>
      <c r="AC153" s="357"/>
      <c r="AD153" s="357"/>
      <c r="AE153" s="357" t="s">
        <v>2032</v>
      </c>
      <c r="AF153" s="357"/>
      <c r="AG153" s="357"/>
    </row>
    <row r="154" spans="1:33" ht="10.5" customHeight="1">
      <c r="A154" s="354" t="s">
        <v>2033</v>
      </c>
      <c r="B154" s="354"/>
      <c r="C154" s="354"/>
      <c r="D154" s="354"/>
      <c r="E154" s="354" t="s">
        <v>2034</v>
      </c>
      <c r="F154" s="354"/>
      <c r="G154" s="354"/>
      <c r="H154" s="354"/>
      <c r="I154" s="354"/>
      <c r="J154" s="354"/>
      <c r="K154" s="354"/>
      <c r="L154" s="354"/>
      <c r="M154" s="354"/>
      <c r="N154" s="354"/>
      <c r="O154" s="354"/>
      <c r="P154" s="354"/>
      <c r="Q154" s="354"/>
      <c r="R154" s="354"/>
      <c r="S154" s="354"/>
      <c r="T154" s="354"/>
      <c r="U154" s="354"/>
      <c r="V154" s="354"/>
      <c r="W154" s="354"/>
      <c r="X154" s="355"/>
      <c r="Y154" s="355"/>
      <c r="Z154" s="355"/>
      <c r="AA154" s="355" t="s">
        <v>2035</v>
      </c>
      <c r="AB154" s="355"/>
      <c r="AC154" s="355"/>
      <c r="AD154" s="355"/>
      <c r="AE154" s="355" t="s">
        <v>2036</v>
      </c>
      <c r="AF154" s="355"/>
      <c r="AG154" s="355"/>
    </row>
    <row r="155" spans="1:33" ht="13.5" thickBot="1">
      <c r="A155" s="345" t="s">
        <v>2037</v>
      </c>
      <c r="B155" s="345"/>
      <c r="C155" s="345"/>
      <c r="D155" s="345"/>
      <c r="E155" s="345" t="s">
        <v>2038</v>
      </c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53"/>
      <c r="Y155" s="353"/>
      <c r="Z155" s="353"/>
      <c r="AA155" s="353" t="s">
        <v>2035</v>
      </c>
      <c r="AB155" s="353"/>
      <c r="AC155" s="353"/>
      <c r="AD155" s="353"/>
      <c r="AE155" s="353" t="s">
        <v>2036</v>
      </c>
      <c r="AF155" s="353"/>
      <c r="AG155" s="353"/>
    </row>
    <row r="156" spans="1:33" ht="10.5" customHeight="1">
      <c r="A156" s="354" t="s">
        <v>2039</v>
      </c>
      <c r="B156" s="354"/>
      <c r="C156" s="354"/>
      <c r="D156" s="354"/>
      <c r="E156" s="354" t="s">
        <v>2040</v>
      </c>
      <c r="F156" s="354"/>
      <c r="G156" s="354"/>
      <c r="H156" s="354"/>
      <c r="I156" s="354"/>
      <c r="J156" s="354"/>
      <c r="K156" s="354"/>
      <c r="L156" s="354"/>
      <c r="M156" s="354"/>
      <c r="N156" s="354"/>
      <c r="O156" s="354"/>
      <c r="P156" s="354"/>
      <c r="Q156" s="354"/>
      <c r="R156" s="354"/>
      <c r="S156" s="354"/>
      <c r="T156" s="354"/>
      <c r="U156" s="354"/>
      <c r="V156" s="354"/>
      <c r="W156" s="354"/>
      <c r="X156" s="355" t="s">
        <v>1770</v>
      </c>
      <c r="Y156" s="355"/>
      <c r="Z156" s="355"/>
      <c r="AA156" s="355" t="s">
        <v>2041</v>
      </c>
      <c r="AB156" s="355"/>
      <c r="AC156" s="355"/>
      <c r="AD156" s="355"/>
      <c r="AE156" s="355" t="s">
        <v>2042</v>
      </c>
      <c r="AF156" s="355"/>
      <c r="AG156" s="355"/>
    </row>
    <row r="157" spans="1:33" ht="13.5" thickBot="1">
      <c r="A157" s="345" t="s">
        <v>2043</v>
      </c>
      <c r="B157" s="345"/>
      <c r="C157" s="345"/>
      <c r="D157" s="345"/>
      <c r="E157" s="345" t="s">
        <v>2044</v>
      </c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53" t="s">
        <v>1770</v>
      </c>
      <c r="Y157" s="353"/>
      <c r="Z157" s="353"/>
      <c r="AA157" s="353" t="s">
        <v>2041</v>
      </c>
      <c r="AB157" s="353"/>
      <c r="AC157" s="353"/>
      <c r="AD157" s="353"/>
      <c r="AE157" s="353" t="s">
        <v>2042</v>
      </c>
      <c r="AF157" s="353"/>
      <c r="AG157" s="353"/>
    </row>
    <row r="158" spans="1:33" ht="13.5" thickBot="1">
      <c r="A158" s="356" t="s">
        <v>2045</v>
      </c>
      <c r="B158" s="356"/>
      <c r="C158" s="356"/>
      <c r="D158" s="356"/>
      <c r="E158" s="356" t="s">
        <v>2046</v>
      </c>
      <c r="F158" s="356"/>
      <c r="G158" s="356"/>
      <c r="H158" s="356"/>
      <c r="I158" s="356"/>
      <c r="J158" s="356"/>
      <c r="K158" s="356"/>
      <c r="L158" s="356"/>
      <c r="M158" s="356"/>
      <c r="N158" s="356"/>
      <c r="O158" s="356"/>
      <c r="P158" s="356"/>
      <c r="Q158" s="356"/>
      <c r="R158" s="356"/>
      <c r="S158" s="356"/>
      <c r="T158" s="356"/>
      <c r="U158" s="356"/>
      <c r="V158" s="356"/>
      <c r="W158" s="356"/>
      <c r="X158" s="357" t="s">
        <v>1770</v>
      </c>
      <c r="Y158" s="357"/>
      <c r="Z158" s="357"/>
      <c r="AA158" s="357" t="s">
        <v>2047</v>
      </c>
      <c r="AB158" s="357"/>
      <c r="AC158" s="357"/>
      <c r="AD158" s="357"/>
      <c r="AE158" s="357" t="s">
        <v>2048</v>
      </c>
      <c r="AF158" s="357"/>
      <c r="AG158" s="357"/>
    </row>
    <row r="159" spans="1:33" ht="12.75">
      <c r="A159" s="354" t="s">
        <v>2049</v>
      </c>
      <c r="B159" s="354"/>
      <c r="C159" s="354"/>
      <c r="D159" s="354"/>
      <c r="E159" s="354" t="s">
        <v>2050</v>
      </c>
      <c r="F159" s="354"/>
      <c r="G159" s="354"/>
      <c r="H159" s="354"/>
      <c r="I159" s="354"/>
      <c r="J159" s="354"/>
      <c r="K159" s="354"/>
      <c r="L159" s="354"/>
      <c r="M159" s="354"/>
      <c r="N159" s="354"/>
      <c r="O159" s="354"/>
      <c r="P159" s="354"/>
      <c r="Q159" s="354"/>
      <c r="R159" s="354"/>
      <c r="S159" s="354"/>
      <c r="T159" s="354"/>
      <c r="U159" s="354"/>
      <c r="V159" s="354"/>
      <c r="W159" s="354"/>
      <c r="X159" s="355" t="s">
        <v>2051</v>
      </c>
      <c r="Y159" s="355"/>
      <c r="Z159" s="355"/>
      <c r="AA159" s="355" t="s">
        <v>2051</v>
      </c>
      <c r="AB159" s="355"/>
      <c r="AC159" s="355"/>
      <c r="AD159" s="355"/>
      <c r="AE159" s="355" t="s">
        <v>2052</v>
      </c>
      <c r="AF159" s="355"/>
      <c r="AG159" s="355"/>
    </row>
    <row r="160" spans="1:33" ht="13.5" thickBot="1">
      <c r="A160" s="345" t="s">
        <v>2053</v>
      </c>
      <c r="B160" s="345"/>
      <c r="C160" s="345"/>
      <c r="D160" s="345"/>
      <c r="E160" s="345" t="s">
        <v>2054</v>
      </c>
      <c r="F160" s="345"/>
      <c r="G160" s="345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5"/>
      <c r="T160" s="345"/>
      <c r="U160" s="345"/>
      <c r="V160" s="345"/>
      <c r="W160" s="345"/>
      <c r="X160" s="353" t="s">
        <v>2051</v>
      </c>
      <c r="Y160" s="353"/>
      <c r="Z160" s="353"/>
      <c r="AA160" s="353" t="s">
        <v>2051</v>
      </c>
      <c r="AB160" s="353"/>
      <c r="AC160" s="353"/>
      <c r="AD160" s="353"/>
      <c r="AE160" s="353" t="s">
        <v>2052</v>
      </c>
      <c r="AF160" s="353"/>
      <c r="AG160" s="353"/>
    </row>
    <row r="161" spans="1:33" ht="13.5" thickBot="1">
      <c r="A161" s="356" t="s">
        <v>2055</v>
      </c>
      <c r="B161" s="356"/>
      <c r="C161" s="356"/>
      <c r="D161" s="356"/>
      <c r="E161" s="356" t="s">
        <v>2056</v>
      </c>
      <c r="F161" s="356"/>
      <c r="G161" s="356"/>
      <c r="H161" s="356"/>
      <c r="I161" s="356"/>
      <c r="J161" s="356"/>
      <c r="K161" s="356"/>
      <c r="L161" s="356"/>
      <c r="M161" s="356"/>
      <c r="N161" s="356"/>
      <c r="O161" s="356"/>
      <c r="P161" s="356"/>
      <c r="Q161" s="356"/>
      <c r="R161" s="356"/>
      <c r="S161" s="356"/>
      <c r="T161" s="356"/>
      <c r="U161" s="356"/>
      <c r="V161" s="356"/>
      <c r="W161" s="356"/>
      <c r="X161" s="357" t="s">
        <v>2051</v>
      </c>
      <c r="Y161" s="357"/>
      <c r="Z161" s="357"/>
      <c r="AA161" s="357" t="s">
        <v>2051</v>
      </c>
      <c r="AB161" s="357"/>
      <c r="AC161" s="357"/>
      <c r="AD161" s="357"/>
      <c r="AE161" s="357" t="s">
        <v>2052</v>
      </c>
      <c r="AF161" s="357"/>
      <c r="AG161" s="357"/>
    </row>
    <row r="162" spans="1:33" ht="12.75">
      <c r="A162" s="354" t="s">
        <v>2057</v>
      </c>
      <c r="B162" s="354"/>
      <c r="C162" s="354"/>
      <c r="D162" s="354"/>
      <c r="E162" s="354" t="s">
        <v>2058</v>
      </c>
      <c r="F162" s="354"/>
      <c r="G162" s="354"/>
      <c r="H162" s="354"/>
      <c r="I162" s="354"/>
      <c r="J162" s="354"/>
      <c r="K162" s="354"/>
      <c r="L162" s="354"/>
      <c r="M162" s="354"/>
      <c r="N162" s="354"/>
      <c r="O162" s="354"/>
      <c r="P162" s="354"/>
      <c r="Q162" s="354"/>
      <c r="R162" s="354"/>
      <c r="S162" s="354"/>
      <c r="T162" s="354"/>
      <c r="U162" s="354"/>
      <c r="V162" s="354"/>
      <c r="W162" s="354"/>
      <c r="X162" s="355"/>
      <c r="Y162" s="355"/>
      <c r="Z162" s="355"/>
      <c r="AA162" s="355" t="s">
        <v>2059</v>
      </c>
      <c r="AB162" s="355"/>
      <c r="AC162" s="355"/>
      <c r="AD162" s="355"/>
      <c r="AE162" s="355"/>
      <c r="AF162" s="355"/>
      <c r="AG162" s="355"/>
    </row>
    <row r="163" spans="1:33" ht="12.75">
      <c r="A163" s="343" t="s">
        <v>2060</v>
      </c>
      <c r="B163" s="343"/>
      <c r="C163" s="343"/>
      <c r="D163" s="343"/>
      <c r="E163" s="343" t="s">
        <v>2061</v>
      </c>
      <c r="F163" s="343"/>
      <c r="G163" s="343"/>
      <c r="H163" s="343"/>
      <c r="I163" s="343"/>
      <c r="J163" s="343"/>
      <c r="K163" s="343"/>
      <c r="L163" s="343"/>
      <c r="M163" s="343"/>
      <c r="N163" s="343"/>
      <c r="O163" s="343"/>
      <c r="P163" s="343"/>
      <c r="Q163" s="343"/>
      <c r="R163" s="343"/>
      <c r="S163" s="343"/>
      <c r="T163" s="343"/>
      <c r="U163" s="343"/>
      <c r="V163" s="343"/>
      <c r="W163" s="343"/>
      <c r="X163" s="352" t="s">
        <v>2062</v>
      </c>
      <c r="Y163" s="352"/>
      <c r="Z163" s="352"/>
      <c r="AA163" s="352" t="s">
        <v>2062</v>
      </c>
      <c r="AB163" s="352"/>
      <c r="AC163" s="352"/>
      <c r="AD163" s="352"/>
      <c r="AE163" s="352" t="s">
        <v>2063</v>
      </c>
      <c r="AF163" s="352"/>
      <c r="AG163" s="352"/>
    </row>
    <row r="164" spans="1:33" ht="13.5" thickBot="1">
      <c r="A164" s="345" t="s">
        <v>2064</v>
      </c>
      <c r="B164" s="345"/>
      <c r="C164" s="345"/>
      <c r="D164" s="345"/>
      <c r="E164" s="345" t="s">
        <v>2065</v>
      </c>
      <c r="F164" s="345"/>
      <c r="G164" s="345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5"/>
      <c r="S164" s="345"/>
      <c r="T164" s="345"/>
      <c r="U164" s="345"/>
      <c r="V164" s="345"/>
      <c r="W164" s="345"/>
      <c r="X164" s="353" t="s">
        <v>2062</v>
      </c>
      <c r="Y164" s="353"/>
      <c r="Z164" s="353"/>
      <c r="AA164" s="353" t="s">
        <v>2066</v>
      </c>
      <c r="AB164" s="353"/>
      <c r="AC164" s="353"/>
      <c r="AD164" s="353"/>
      <c r="AE164" s="353" t="s">
        <v>2063</v>
      </c>
      <c r="AF164" s="353"/>
      <c r="AG164" s="353"/>
    </row>
    <row r="165" spans="1:33" ht="13.5" thickBot="1">
      <c r="A165" s="356" t="s">
        <v>2067</v>
      </c>
      <c r="B165" s="356"/>
      <c r="C165" s="356"/>
      <c r="D165" s="356"/>
      <c r="E165" s="356" t="s">
        <v>2065</v>
      </c>
      <c r="F165" s="356"/>
      <c r="G165" s="356"/>
      <c r="H165" s="356"/>
      <c r="I165" s="356"/>
      <c r="J165" s="356"/>
      <c r="K165" s="356"/>
      <c r="L165" s="356"/>
      <c r="M165" s="356"/>
      <c r="N165" s="356"/>
      <c r="O165" s="356"/>
      <c r="P165" s="356"/>
      <c r="Q165" s="356"/>
      <c r="R165" s="356"/>
      <c r="S165" s="356"/>
      <c r="T165" s="356"/>
      <c r="U165" s="356"/>
      <c r="V165" s="356"/>
      <c r="W165" s="356"/>
      <c r="X165" s="357" t="s">
        <v>2062</v>
      </c>
      <c r="Y165" s="357"/>
      <c r="Z165" s="357"/>
      <c r="AA165" s="357" t="s">
        <v>2066</v>
      </c>
      <c r="AB165" s="357"/>
      <c r="AC165" s="357"/>
      <c r="AD165" s="357"/>
      <c r="AE165" s="357" t="s">
        <v>2063</v>
      </c>
      <c r="AF165" s="357"/>
      <c r="AG165" s="357"/>
    </row>
    <row r="166" spans="1:33" ht="13.5" thickBot="1">
      <c r="A166" s="356" t="s">
        <v>2068</v>
      </c>
      <c r="B166" s="356"/>
      <c r="C166" s="356"/>
      <c r="D166" s="356"/>
      <c r="E166" s="356" t="s">
        <v>2069</v>
      </c>
      <c r="F166" s="356"/>
      <c r="G166" s="356"/>
      <c r="H166" s="356"/>
      <c r="I166" s="356"/>
      <c r="J166" s="356"/>
      <c r="K166" s="356"/>
      <c r="L166" s="356"/>
      <c r="M166" s="356"/>
      <c r="N166" s="356"/>
      <c r="O166" s="356"/>
      <c r="P166" s="356"/>
      <c r="Q166" s="356"/>
      <c r="R166" s="356"/>
      <c r="S166" s="356"/>
      <c r="T166" s="356"/>
      <c r="U166" s="356"/>
      <c r="V166" s="356"/>
      <c r="W166" s="356"/>
      <c r="X166" s="357" t="s">
        <v>1790</v>
      </c>
      <c r="Y166" s="357"/>
      <c r="Z166" s="357"/>
      <c r="AA166" s="357" t="s">
        <v>1791</v>
      </c>
      <c r="AB166" s="357"/>
      <c r="AC166" s="357"/>
      <c r="AD166" s="357"/>
      <c r="AE166" s="357" t="s">
        <v>1792</v>
      </c>
      <c r="AF166" s="357"/>
      <c r="AG166" s="357"/>
    </row>
    <row r="167" spans="1:33" ht="12.75">
      <c r="A167" s="354" t="s">
        <v>2070</v>
      </c>
      <c r="B167" s="354"/>
      <c r="C167" s="354"/>
      <c r="D167" s="354"/>
      <c r="E167" s="354" t="s">
        <v>1946</v>
      </c>
      <c r="F167" s="354"/>
      <c r="G167" s="354"/>
      <c r="H167" s="354"/>
      <c r="I167" s="354"/>
      <c r="J167" s="354"/>
      <c r="K167" s="354"/>
      <c r="L167" s="354"/>
      <c r="M167" s="354"/>
      <c r="N167" s="354"/>
      <c r="O167" s="354"/>
      <c r="P167" s="354"/>
      <c r="Q167" s="354"/>
      <c r="R167" s="354"/>
      <c r="S167" s="354"/>
      <c r="T167" s="354"/>
      <c r="U167" s="354"/>
      <c r="V167" s="354"/>
      <c r="W167" s="354"/>
      <c r="X167" s="355" t="s">
        <v>2052</v>
      </c>
      <c r="Y167" s="355"/>
      <c r="Z167" s="355"/>
      <c r="AA167" s="355" t="s">
        <v>2071</v>
      </c>
      <c r="AB167" s="355"/>
      <c r="AC167" s="355"/>
      <c r="AD167" s="355"/>
      <c r="AE167" s="355" t="s">
        <v>2072</v>
      </c>
      <c r="AF167" s="355"/>
      <c r="AG167" s="355"/>
    </row>
    <row r="168" spans="1:33" ht="13.5" thickBot="1">
      <c r="A168" s="345" t="s">
        <v>2073</v>
      </c>
      <c r="B168" s="345"/>
      <c r="C168" s="345"/>
      <c r="D168" s="345"/>
      <c r="E168" s="345" t="s">
        <v>2074</v>
      </c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  <c r="U168" s="345"/>
      <c r="V168" s="345"/>
      <c r="W168" s="345"/>
      <c r="X168" s="353" t="s">
        <v>2052</v>
      </c>
      <c r="Y168" s="353"/>
      <c r="Z168" s="353"/>
      <c r="AA168" s="353" t="s">
        <v>2071</v>
      </c>
      <c r="AB168" s="353"/>
      <c r="AC168" s="353"/>
      <c r="AD168" s="353"/>
      <c r="AE168" s="353" t="s">
        <v>2072</v>
      </c>
      <c r="AF168" s="353"/>
      <c r="AG168" s="353"/>
    </row>
    <row r="169" spans="1:33" ht="12.75">
      <c r="A169" s="354" t="s">
        <v>2075</v>
      </c>
      <c r="B169" s="354"/>
      <c r="C169" s="354"/>
      <c r="D169" s="354"/>
      <c r="E169" s="354" t="s">
        <v>2076</v>
      </c>
      <c r="F169" s="354"/>
      <c r="G169" s="354"/>
      <c r="H169" s="354"/>
      <c r="I169" s="354"/>
      <c r="J169" s="354"/>
      <c r="K169" s="354"/>
      <c r="L169" s="354"/>
      <c r="M169" s="354"/>
      <c r="N169" s="354"/>
      <c r="O169" s="354"/>
      <c r="P169" s="354"/>
      <c r="Q169" s="354"/>
      <c r="R169" s="354"/>
      <c r="S169" s="354"/>
      <c r="T169" s="354"/>
      <c r="U169" s="354"/>
      <c r="V169" s="354"/>
      <c r="W169" s="354"/>
      <c r="X169" s="355" t="s">
        <v>2077</v>
      </c>
      <c r="Y169" s="355"/>
      <c r="Z169" s="355"/>
      <c r="AA169" s="355" t="s">
        <v>2078</v>
      </c>
      <c r="AB169" s="355"/>
      <c r="AC169" s="355"/>
      <c r="AD169" s="355"/>
      <c r="AE169" s="355" t="s">
        <v>2079</v>
      </c>
      <c r="AF169" s="355"/>
      <c r="AG169" s="355"/>
    </row>
    <row r="170" spans="1:33" ht="12.75">
      <c r="A170" s="343" t="s">
        <v>2080</v>
      </c>
      <c r="B170" s="343"/>
      <c r="C170" s="343"/>
      <c r="D170" s="343"/>
      <c r="E170" s="343" t="s">
        <v>2081</v>
      </c>
      <c r="F170" s="343"/>
      <c r="G170" s="343"/>
      <c r="H170" s="343"/>
      <c r="I170" s="343"/>
      <c r="J170" s="343"/>
      <c r="K170" s="343"/>
      <c r="L170" s="343"/>
      <c r="M170" s="343"/>
      <c r="N170" s="343"/>
      <c r="O170" s="343"/>
      <c r="P170" s="343"/>
      <c r="Q170" s="343"/>
      <c r="R170" s="343"/>
      <c r="S170" s="343"/>
      <c r="T170" s="343"/>
      <c r="U170" s="343"/>
      <c r="V170" s="343"/>
      <c r="W170" s="343"/>
      <c r="X170" s="352"/>
      <c r="Y170" s="352"/>
      <c r="Z170" s="352"/>
      <c r="AA170" s="352" t="s">
        <v>2082</v>
      </c>
      <c r="AB170" s="352"/>
      <c r="AC170" s="352"/>
      <c r="AD170" s="352"/>
      <c r="AE170" s="352" t="s">
        <v>2083</v>
      </c>
      <c r="AF170" s="352"/>
      <c r="AG170" s="352"/>
    </row>
    <row r="171" spans="1:33" ht="12.75">
      <c r="A171" s="343" t="s">
        <v>2084</v>
      </c>
      <c r="B171" s="343"/>
      <c r="C171" s="343"/>
      <c r="D171" s="343"/>
      <c r="E171" s="343" t="s">
        <v>2085</v>
      </c>
      <c r="F171" s="343"/>
      <c r="G171" s="343"/>
      <c r="H171" s="343"/>
      <c r="I171" s="343"/>
      <c r="J171" s="343"/>
      <c r="K171" s="343"/>
      <c r="L171" s="343"/>
      <c r="M171" s="343"/>
      <c r="N171" s="343"/>
      <c r="O171" s="343"/>
      <c r="P171" s="343"/>
      <c r="Q171" s="343"/>
      <c r="R171" s="343"/>
      <c r="S171" s="343"/>
      <c r="T171" s="343"/>
      <c r="U171" s="343"/>
      <c r="V171" s="343"/>
      <c r="W171" s="343"/>
      <c r="X171" s="352"/>
      <c r="Y171" s="352"/>
      <c r="Z171" s="352"/>
      <c r="AA171" s="352" t="s">
        <v>2086</v>
      </c>
      <c r="AB171" s="352"/>
      <c r="AC171" s="352"/>
      <c r="AD171" s="352"/>
      <c r="AE171" s="352" t="s">
        <v>2087</v>
      </c>
      <c r="AF171" s="352"/>
      <c r="AG171" s="352"/>
    </row>
    <row r="172" spans="1:33" ht="12.75">
      <c r="A172" s="343" t="s">
        <v>2088</v>
      </c>
      <c r="B172" s="343"/>
      <c r="C172" s="343"/>
      <c r="D172" s="343"/>
      <c r="E172" s="343" t="s">
        <v>2089</v>
      </c>
      <c r="F172" s="343"/>
      <c r="G172" s="343"/>
      <c r="H172" s="343"/>
      <c r="I172" s="343"/>
      <c r="J172" s="343"/>
      <c r="K172" s="343"/>
      <c r="L172" s="343"/>
      <c r="M172" s="343"/>
      <c r="N172" s="343"/>
      <c r="O172" s="343"/>
      <c r="P172" s="343"/>
      <c r="Q172" s="343"/>
      <c r="R172" s="343"/>
      <c r="S172" s="343"/>
      <c r="T172" s="343"/>
      <c r="U172" s="343"/>
      <c r="V172" s="343"/>
      <c r="W172" s="343"/>
      <c r="X172" s="352" t="s">
        <v>2090</v>
      </c>
      <c r="Y172" s="352"/>
      <c r="Z172" s="352"/>
      <c r="AA172" s="352" t="s">
        <v>2091</v>
      </c>
      <c r="AB172" s="352"/>
      <c r="AC172" s="352"/>
      <c r="AD172" s="352"/>
      <c r="AE172" s="352" t="s">
        <v>2092</v>
      </c>
      <c r="AF172" s="352"/>
      <c r="AG172" s="352"/>
    </row>
    <row r="173" spans="1:33" ht="13.5" thickBot="1">
      <c r="A173" s="345" t="s">
        <v>2093</v>
      </c>
      <c r="B173" s="345"/>
      <c r="C173" s="345"/>
      <c r="D173" s="345"/>
      <c r="E173" s="345" t="s">
        <v>2094</v>
      </c>
      <c r="F173" s="345"/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  <c r="U173" s="345"/>
      <c r="V173" s="345"/>
      <c r="W173" s="345"/>
      <c r="X173" s="353" t="s">
        <v>2095</v>
      </c>
      <c r="Y173" s="353"/>
      <c r="Z173" s="353"/>
      <c r="AA173" s="353" t="s">
        <v>2096</v>
      </c>
      <c r="AB173" s="353"/>
      <c r="AC173" s="353"/>
      <c r="AD173" s="353"/>
      <c r="AE173" s="353" t="s">
        <v>2097</v>
      </c>
      <c r="AF173" s="353"/>
      <c r="AG173" s="353"/>
    </row>
    <row r="174" spans="1:33" ht="13.5" thickBot="1">
      <c r="A174" s="356" t="s">
        <v>2098</v>
      </c>
      <c r="B174" s="356"/>
      <c r="C174" s="356"/>
      <c r="D174" s="356"/>
      <c r="E174" s="356" t="s">
        <v>2099</v>
      </c>
      <c r="F174" s="356"/>
      <c r="G174" s="356"/>
      <c r="H174" s="356"/>
      <c r="I174" s="356"/>
      <c r="J174" s="356"/>
      <c r="K174" s="356"/>
      <c r="L174" s="356"/>
      <c r="M174" s="356"/>
      <c r="N174" s="356"/>
      <c r="O174" s="356"/>
      <c r="P174" s="356"/>
      <c r="Q174" s="356"/>
      <c r="R174" s="356"/>
      <c r="S174" s="356"/>
      <c r="T174" s="356"/>
      <c r="U174" s="356"/>
      <c r="V174" s="356"/>
      <c r="W174" s="356"/>
      <c r="X174" s="357" t="s">
        <v>1794</v>
      </c>
      <c r="Y174" s="357"/>
      <c r="Z174" s="357"/>
      <c r="AA174" s="357" t="s">
        <v>2100</v>
      </c>
      <c r="AB174" s="357"/>
      <c r="AC174" s="357"/>
      <c r="AD174" s="357"/>
      <c r="AE174" s="357" t="s">
        <v>2101</v>
      </c>
      <c r="AF174" s="357"/>
      <c r="AG174" s="357"/>
    </row>
    <row r="175" spans="1:33" ht="12.75">
      <c r="A175" s="354" t="s">
        <v>2102</v>
      </c>
      <c r="B175" s="354"/>
      <c r="C175" s="354"/>
      <c r="D175" s="354"/>
      <c r="E175" s="354" t="s">
        <v>2103</v>
      </c>
      <c r="F175" s="354"/>
      <c r="G175" s="354"/>
      <c r="H175" s="354"/>
      <c r="I175" s="354"/>
      <c r="J175" s="354"/>
      <c r="K175" s="354"/>
      <c r="L175" s="354"/>
      <c r="M175" s="354"/>
      <c r="N175" s="354"/>
      <c r="O175" s="354"/>
      <c r="P175" s="354"/>
      <c r="Q175" s="354"/>
      <c r="R175" s="354"/>
      <c r="S175" s="354"/>
      <c r="T175" s="354"/>
      <c r="U175" s="354"/>
      <c r="V175" s="354"/>
      <c r="W175" s="354"/>
      <c r="X175" s="355"/>
      <c r="Y175" s="355"/>
      <c r="Z175" s="355"/>
      <c r="AA175" s="355" t="s">
        <v>2104</v>
      </c>
      <c r="AB175" s="355"/>
      <c r="AC175" s="355"/>
      <c r="AD175" s="355"/>
      <c r="AE175" s="355" t="s">
        <v>2105</v>
      </c>
      <c r="AF175" s="355"/>
      <c r="AG175" s="355"/>
    </row>
    <row r="176" spans="1:33" ht="12.75">
      <c r="A176" s="343" t="s">
        <v>2106</v>
      </c>
      <c r="B176" s="343"/>
      <c r="C176" s="343"/>
      <c r="D176" s="343"/>
      <c r="E176" s="343" t="s">
        <v>2107</v>
      </c>
      <c r="F176" s="343"/>
      <c r="G176" s="343"/>
      <c r="H176" s="343"/>
      <c r="I176" s="343"/>
      <c r="J176" s="343"/>
      <c r="K176" s="343"/>
      <c r="L176" s="343"/>
      <c r="M176" s="343"/>
      <c r="N176" s="343"/>
      <c r="O176" s="343"/>
      <c r="P176" s="343"/>
      <c r="Q176" s="343"/>
      <c r="R176" s="343"/>
      <c r="S176" s="343"/>
      <c r="T176" s="343"/>
      <c r="U176" s="343"/>
      <c r="V176" s="343"/>
      <c r="W176" s="343"/>
      <c r="X176" s="352"/>
      <c r="Y176" s="352"/>
      <c r="Z176" s="352"/>
      <c r="AA176" s="352" t="s">
        <v>1670</v>
      </c>
      <c r="AB176" s="352"/>
      <c r="AC176" s="352"/>
      <c r="AD176" s="352"/>
      <c r="AE176" s="352"/>
      <c r="AF176" s="352"/>
      <c r="AG176" s="352"/>
    </row>
    <row r="177" spans="1:33" ht="13.5" thickBot="1">
      <c r="A177" s="345" t="s">
        <v>2108</v>
      </c>
      <c r="B177" s="345"/>
      <c r="C177" s="345"/>
      <c r="D177" s="345"/>
      <c r="E177" s="345" t="s">
        <v>2109</v>
      </c>
      <c r="F177" s="345"/>
      <c r="G177" s="345"/>
      <c r="H177" s="345"/>
      <c r="I177" s="345"/>
      <c r="J177" s="345"/>
      <c r="K177" s="345"/>
      <c r="L177" s="345"/>
      <c r="M177" s="345"/>
      <c r="N177" s="345"/>
      <c r="O177" s="345"/>
      <c r="P177" s="345"/>
      <c r="Q177" s="345"/>
      <c r="R177" s="345"/>
      <c r="S177" s="345"/>
      <c r="T177" s="345"/>
      <c r="U177" s="345"/>
      <c r="V177" s="345"/>
      <c r="W177" s="345"/>
      <c r="X177" s="353"/>
      <c r="Y177" s="353"/>
      <c r="Z177" s="353"/>
      <c r="AA177" s="353" t="s">
        <v>2105</v>
      </c>
      <c r="AB177" s="353"/>
      <c r="AC177" s="353"/>
      <c r="AD177" s="353"/>
      <c r="AE177" s="353" t="s">
        <v>2105</v>
      </c>
      <c r="AF177" s="353"/>
      <c r="AG177" s="353"/>
    </row>
    <row r="178" spans="1:33" ht="12.75">
      <c r="A178" s="354" t="s">
        <v>2110</v>
      </c>
      <c r="B178" s="354"/>
      <c r="C178" s="354"/>
      <c r="D178" s="354"/>
      <c r="E178" s="354" t="s">
        <v>2111</v>
      </c>
      <c r="F178" s="354"/>
      <c r="G178" s="354"/>
      <c r="H178" s="354"/>
      <c r="I178" s="354"/>
      <c r="J178" s="354"/>
      <c r="K178" s="354"/>
      <c r="L178" s="354"/>
      <c r="M178" s="354"/>
      <c r="N178" s="354"/>
      <c r="O178" s="354"/>
      <c r="P178" s="354"/>
      <c r="Q178" s="354"/>
      <c r="R178" s="354"/>
      <c r="S178" s="354"/>
      <c r="T178" s="354"/>
      <c r="U178" s="354"/>
      <c r="V178" s="354"/>
      <c r="W178" s="354"/>
      <c r="X178" s="355"/>
      <c r="Y178" s="355"/>
      <c r="Z178" s="355"/>
      <c r="AA178" s="355" t="s">
        <v>1634</v>
      </c>
      <c r="AB178" s="355"/>
      <c r="AC178" s="355"/>
      <c r="AD178" s="355"/>
      <c r="AE178" s="355" t="s">
        <v>1634</v>
      </c>
      <c r="AF178" s="355"/>
      <c r="AG178" s="355"/>
    </row>
    <row r="179" spans="1:33" ht="13.5" thickBot="1">
      <c r="A179" s="345" t="s">
        <v>2112</v>
      </c>
      <c r="B179" s="345"/>
      <c r="C179" s="345"/>
      <c r="D179" s="345"/>
      <c r="E179" s="345" t="s">
        <v>2113</v>
      </c>
      <c r="F179" s="345"/>
      <c r="G179" s="345"/>
      <c r="H179" s="345"/>
      <c r="I179" s="345"/>
      <c r="J179" s="345"/>
      <c r="K179" s="345"/>
      <c r="L179" s="345"/>
      <c r="M179" s="345"/>
      <c r="N179" s="345"/>
      <c r="O179" s="345"/>
      <c r="P179" s="345"/>
      <c r="Q179" s="345"/>
      <c r="R179" s="345"/>
      <c r="S179" s="345"/>
      <c r="T179" s="345"/>
      <c r="U179" s="345"/>
      <c r="V179" s="345"/>
      <c r="W179" s="345"/>
      <c r="X179" s="353"/>
      <c r="Y179" s="353"/>
      <c r="Z179" s="353"/>
      <c r="AA179" s="353" t="s">
        <v>1634</v>
      </c>
      <c r="AB179" s="353"/>
      <c r="AC179" s="353"/>
      <c r="AD179" s="353"/>
      <c r="AE179" s="353" t="s">
        <v>1634</v>
      </c>
      <c r="AF179" s="353"/>
      <c r="AG179" s="353"/>
    </row>
    <row r="180" spans="1:33" ht="13.5" thickBot="1">
      <c r="A180" s="356" t="s">
        <v>2114</v>
      </c>
      <c r="B180" s="356"/>
      <c r="C180" s="356"/>
      <c r="D180" s="356"/>
      <c r="E180" s="356" t="s">
        <v>2115</v>
      </c>
      <c r="F180" s="356"/>
      <c r="G180" s="356"/>
      <c r="H180" s="356"/>
      <c r="I180" s="356"/>
      <c r="J180" s="356"/>
      <c r="K180" s="356"/>
      <c r="L180" s="356"/>
      <c r="M180" s="356"/>
      <c r="N180" s="356"/>
      <c r="O180" s="356"/>
      <c r="P180" s="356"/>
      <c r="Q180" s="356"/>
      <c r="R180" s="356"/>
      <c r="S180" s="356"/>
      <c r="T180" s="356"/>
      <c r="U180" s="356"/>
      <c r="V180" s="356"/>
      <c r="W180" s="356"/>
      <c r="X180" s="357"/>
      <c r="Y180" s="357"/>
      <c r="Z180" s="357"/>
      <c r="AA180" s="357" t="s">
        <v>2116</v>
      </c>
      <c r="AB180" s="357"/>
      <c r="AC180" s="357"/>
      <c r="AD180" s="357"/>
      <c r="AE180" s="357" t="s">
        <v>2116</v>
      </c>
      <c r="AF180" s="357"/>
      <c r="AG180" s="357"/>
    </row>
    <row r="181" spans="1:33" ht="13.5" thickBot="1">
      <c r="A181" s="356" t="s">
        <v>2117</v>
      </c>
      <c r="B181" s="356"/>
      <c r="C181" s="356"/>
      <c r="D181" s="356"/>
      <c r="E181" s="356" t="s">
        <v>2118</v>
      </c>
      <c r="F181" s="356"/>
      <c r="G181" s="356"/>
      <c r="H181" s="356"/>
      <c r="I181" s="356"/>
      <c r="J181" s="356"/>
      <c r="K181" s="356"/>
      <c r="L181" s="356"/>
      <c r="M181" s="356"/>
      <c r="N181" s="356"/>
      <c r="O181" s="356"/>
      <c r="P181" s="356"/>
      <c r="Q181" s="356"/>
      <c r="R181" s="356"/>
      <c r="S181" s="356"/>
      <c r="T181" s="356"/>
      <c r="U181" s="356"/>
      <c r="V181" s="356"/>
      <c r="W181" s="356"/>
      <c r="X181" s="357" t="s">
        <v>1794</v>
      </c>
      <c r="Y181" s="357"/>
      <c r="Z181" s="357"/>
      <c r="AA181" s="357" t="s">
        <v>1795</v>
      </c>
      <c r="AB181" s="357"/>
      <c r="AC181" s="357"/>
      <c r="AD181" s="357"/>
      <c r="AE181" s="357" t="s">
        <v>1796</v>
      </c>
      <c r="AF181" s="357"/>
      <c r="AG181" s="357"/>
    </row>
    <row r="182" spans="1:33" ht="13.5" thickBot="1">
      <c r="A182" s="363" t="s">
        <v>2119</v>
      </c>
      <c r="B182" s="363"/>
      <c r="C182" s="363"/>
      <c r="D182" s="363"/>
      <c r="E182" s="363"/>
      <c r="F182" s="363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63"/>
      <c r="R182" s="363"/>
      <c r="S182" s="363"/>
      <c r="T182" s="363"/>
      <c r="U182" s="363"/>
      <c r="V182" s="363"/>
      <c r="W182" s="363"/>
      <c r="X182" s="362" t="s">
        <v>1592</v>
      </c>
      <c r="Y182" s="362"/>
      <c r="Z182" s="362"/>
      <c r="AA182" s="362" t="s">
        <v>1798</v>
      </c>
      <c r="AB182" s="362"/>
      <c r="AC182" s="362"/>
      <c r="AD182" s="362"/>
      <c r="AE182" s="362" t="s">
        <v>1799</v>
      </c>
      <c r="AF182" s="362"/>
      <c r="AG182" s="362"/>
    </row>
    <row r="183" spans="1:33" ht="13.5" thickBot="1">
      <c r="A183" s="363" t="s">
        <v>2120</v>
      </c>
      <c r="B183" s="363"/>
      <c r="C183" s="363"/>
      <c r="D183" s="363"/>
      <c r="E183" s="363"/>
      <c r="F183" s="363"/>
      <c r="G183" s="363"/>
      <c r="H183" s="363"/>
      <c r="I183" s="363"/>
      <c r="J183" s="363"/>
      <c r="K183" s="363"/>
      <c r="L183" s="363"/>
      <c r="M183" s="363"/>
      <c r="N183" s="363"/>
      <c r="O183" s="363"/>
      <c r="P183" s="363"/>
      <c r="Q183" s="363"/>
      <c r="R183" s="363"/>
      <c r="S183" s="363"/>
      <c r="T183" s="363"/>
      <c r="U183" s="363"/>
      <c r="V183" s="364"/>
      <c r="W183" s="364"/>
      <c r="X183" s="364"/>
      <c r="Y183" s="364"/>
      <c r="Z183" s="364"/>
      <c r="AA183" s="365" t="s">
        <v>2121</v>
      </c>
      <c r="AB183" s="365"/>
      <c r="AC183" s="365"/>
      <c r="AD183" s="365"/>
      <c r="AE183" s="364" t="s">
        <v>2122</v>
      </c>
      <c r="AF183" s="364"/>
      <c r="AG183" s="364"/>
    </row>
    <row r="184" spans="1:33" ht="15.75" thickBot="1">
      <c r="A184" s="349" t="s">
        <v>2123</v>
      </c>
      <c r="B184" s="349"/>
      <c r="C184" s="349"/>
      <c r="D184" s="349"/>
      <c r="E184" s="349"/>
      <c r="F184" s="349"/>
      <c r="G184" s="349"/>
      <c r="H184" s="349"/>
      <c r="I184" s="349"/>
      <c r="J184" s="349"/>
      <c r="K184" s="349"/>
      <c r="L184" s="349"/>
      <c r="M184" s="349"/>
      <c r="N184" s="349"/>
      <c r="O184" s="349"/>
      <c r="P184" s="349"/>
      <c r="Q184" s="349"/>
      <c r="R184" s="349"/>
      <c r="S184" s="349"/>
      <c r="T184" s="349"/>
      <c r="U184" s="349"/>
      <c r="V184" s="349"/>
      <c r="W184" s="349"/>
      <c r="X184" s="349"/>
      <c r="Y184" s="349"/>
      <c r="Z184" s="349"/>
      <c r="AA184" s="349"/>
      <c r="AB184" s="349"/>
      <c r="AC184" s="349"/>
      <c r="AD184" s="349"/>
      <c r="AE184" s="349"/>
      <c r="AF184" s="349"/>
      <c r="AG184" s="349"/>
    </row>
    <row r="185" spans="1:33" ht="13.5" thickBot="1">
      <c r="A185" s="350" t="s">
        <v>2124</v>
      </c>
      <c r="B185" s="350"/>
      <c r="C185" s="350"/>
      <c r="D185" s="350"/>
      <c r="E185" s="350"/>
      <c r="F185" s="350"/>
      <c r="G185" s="350"/>
      <c r="H185" s="350"/>
      <c r="I185" s="350"/>
      <c r="J185" s="350"/>
      <c r="K185" s="350"/>
      <c r="L185" s="350"/>
      <c r="M185" s="350"/>
      <c r="N185" s="350"/>
      <c r="O185" s="350"/>
      <c r="P185" s="350"/>
      <c r="Q185" s="350"/>
      <c r="R185" s="351" t="s">
        <v>1575</v>
      </c>
      <c r="S185" s="351"/>
      <c r="T185" s="351"/>
      <c r="U185" s="351"/>
      <c r="V185" s="351"/>
      <c r="W185" s="351"/>
      <c r="X185" s="351"/>
      <c r="Y185" s="351"/>
      <c r="Z185" s="351"/>
      <c r="AA185" s="351" t="s">
        <v>1576</v>
      </c>
      <c r="AB185" s="351"/>
      <c r="AC185" s="351"/>
      <c r="AD185" s="351"/>
      <c r="AE185" s="351" t="s">
        <v>1577</v>
      </c>
      <c r="AF185" s="351"/>
      <c r="AG185" s="351"/>
    </row>
    <row r="186" spans="1:33" ht="12.75">
      <c r="A186" s="366" t="s">
        <v>2125</v>
      </c>
      <c r="B186" s="366"/>
      <c r="C186" s="366"/>
      <c r="D186" s="366"/>
      <c r="E186" s="366"/>
      <c r="F186" s="366"/>
      <c r="G186" s="366"/>
      <c r="H186" s="366"/>
      <c r="I186" s="366"/>
      <c r="J186" s="366"/>
      <c r="K186" s="366"/>
      <c r="L186" s="366"/>
      <c r="M186" s="366"/>
      <c r="N186" s="366"/>
      <c r="O186" s="366"/>
      <c r="P186" s="366"/>
      <c r="Q186" s="366"/>
      <c r="R186" s="366"/>
      <c r="S186" s="366"/>
      <c r="T186" s="366"/>
      <c r="U186" s="366"/>
      <c r="V186" s="366"/>
      <c r="W186" s="366"/>
      <c r="X186" s="366"/>
      <c r="Y186" s="366"/>
      <c r="Z186" s="366"/>
      <c r="AA186" s="366"/>
      <c r="AB186" s="366"/>
      <c r="AC186" s="366"/>
      <c r="AD186" s="366"/>
      <c r="AE186" s="366"/>
      <c r="AF186" s="366"/>
      <c r="AG186" s="366"/>
    </row>
    <row r="187" spans="1:33" ht="12.75">
      <c r="A187" s="367"/>
      <c r="B187" s="343" t="s">
        <v>2126</v>
      </c>
      <c r="C187" s="343"/>
      <c r="D187" s="343"/>
      <c r="E187" s="343"/>
      <c r="F187" s="343"/>
      <c r="G187" s="343"/>
      <c r="H187" s="343"/>
      <c r="I187" s="343"/>
      <c r="J187" s="343"/>
      <c r="K187" s="343"/>
      <c r="L187" s="343"/>
      <c r="M187" s="343"/>
      <c r="N187" s="343"/>
      <c r="O187" s="343"/>
      <c r="P187" s="343"/>
      <c r="Q187" s="343"/>
      <c r="R187" s="343"/>
      <c r="S187" s="343"/>
      <c r="T187" s="343"/>
      <c r="U187" s="343"/>
      <c r="V187" s="343" t="s">
        <v>2127</v>
      </c>
      <c r="W187" s="343"/>
      <c r="X187" s="352"/>
      <c r="Y187" s="352"/>
      <c r="Z187" s="352"/>
      <c r="AA187" s="352"/>
      <c r="AB187" s="352"/>
      <c r="AC187" s="352"/>
      <c r="AD187" s="352"/>
      <c r="AE187" s="352"/>
      <c r="AF187" s="352"/>
      <c r="AG187" s="352"/>
    </row>
    <row r="188" spans="1:33" ht="12.75">
      <c r="A188" s="367"/>
      <c r="B188" s="343" t="s">
        <v>2128</v>
      </c>
      <c r="C188" s="343"/>
      <c r="D188" s="343"/>
      <c r="E188" s="343"/>
      <c r="F188" s="343"/>
      <c r="G188" s="343"/>
      <c r="H188" s="343"/>
      <c r="I188" s="343"/>
      <c r="J188" s="343"/>
      <c r="K188" s="343"/>
      <c r="L188" s="343"/>
      <c r="M188" s="343"/>
      <c r="N188" s="343"/>
      <c r="O188" s="343"/>
      <c r="P188" s="343"/>
      <c r="Q188" s="343"/>
      <c r="R188" s="343"/>
      <c r="S188" s="343"/>
      <c r="T188" s="343"/>
      <c r="U188" s="343"/>
      <c r="V188" s="343" t="s">
        <v>2129</v>
      </c>
      <c r="W188" s="343"/>
      <c r="X188" s="352"/>
      <c r="Y188" s="352"/>
      <c r="Z188" s="352"/>
      <c r="AA188" s="352"/>
      <c r="AB188" s="352"/>
      <c r="AC188" s="352"/>
      <c r="AD188" s="352"/>
      <c r="AE188" s="352"/>
      <c r="AF188" s="352"/>
      <c r="AG188" s="352"/>
    </row>
    <row r="189" spans="1:33" ht="12.75">
      <c r="A189" s="367"/>
      <c r="B189" s="343" t="s">
        <v>2130</v>
      </c>
      <c r="C189" s="343"/>
      <c r="D189" s="343"/>
      <c r="E189" s="343"/>
      <c r="F189" s="343"/>
      <c r="G189" s="343"/>
      <c r="H189" s="343"/>
      <c r="I189" s="343"/>
      <c r="J189" s="343"/>
      <c r="K189" s="343"/>
      <c r="L189" s="343"/>
      <c r="M189" s="343"/>
      <c r="N189" s="343"/>
      <c r="O189" s="343"/>
      <c r="P189" s="343"/>
      <c r="Q189" s="343"/>
      <c r="R189" s="343"/>
      <c r="S189" s="343"/>
      <c r="T189" s="343"/>
      <c r="U189" s="343"/>
      <c r="V189" s="343" t="s">
        <v>2131</v>
      </c>
      <c r="W189" s="343"/>
      <c r="X189" s="352"/>
      <c r="Y189" s="352"/>
      <c r="Z189" s="352"/>
      <c r="AA189" s="352"/>
      <c r="AB189" s="352"/>
      <c r="AC189" s="352"/>
      <c r="AD189" s="352"/>
      <c r="AE189" s="352"/>
      <c r="AF189" s="352"/>
      <c r="AG189" s="352"/>
    </row>
    <row r="190" spans="1:33" ht="12.75">
      <c r="A190" s="367"/>
      <c r="B190" s="343" t="s">
        <v>2132</v>
      </c>
      <c r="C190" s="343"/>
      <c r="D190" s="343"/>
      <c r="E190" s="343"/>
      <c r="F190" s="343"/>
      <c r="G190" s="343"/>
      <c r="H190" s="343"/>
      <c r="I190" s="343"/>
      <c r="J190" s="343"/>
      <c r="K190" s="343"/>
      <c r="L190" s="343"/>
      <c r="M190" s="343"/>
      <c r="N190" s="343"/>
      <c r="O190" s="343"/>
      <c r="P190" s="343"/>
      <c r="Q190" s="343"/>
      <c r="R190" s="343"/>
      <c r="S190" s="343"/>
      <c r="T190" s="343"/>
      <c r="U190" s="343"/>
      <c r="V190" s="343" t="s">
        <v>2133</v>
      </c>
      <c r="W190" s="343"/>
      <c r="X190" s="352"/>
      <c r="Y190" s="352"/>
      <c r="Z190" s="352"/>
      <c r="AA190" s="352"/>
      <c r="AB190" s="352"/>
      <c r="AC190" s="352"/>
      <c r="AD190" s="352"/>
      <c r="AE190" s="352"/>
      <c r="AF190" s="352"/>
      <c r="AG190" s="352"/>
    </row>
    <row r="191" spans="1:33" ht="12.75">
      <c r="A191" s="367"/>
      <c r="B191" s="343" t="s">
        <v>2134</v>
      </c>
      <c r="C191" s="343"/>
      <c r="D191" s="343"/>
      <c r="E191" s="343"/>
      <c r="F191" s="343"/>
      <c r="G191" s="343"/>
      <c r="H191" s="343"/>
      <c r="I191" s="343"/>
      <c r="J191" s="343"/>
      <c r="K191" s="343"/>
      <c r="L191" s="343"/>
      <c r="M191" s="343"/>
      <c r="N191" s="343"/>
      <c r="O191" s="343"/>
      <c r="P191" s="343"/>
      <c r="Q191" s="343"/>
      <c r="R191" s="343"/>
      <c r="S191" s="343"/>
      <c r="T191" s="343"/>
      <c r="U191" s="343"/>
      <c r="V191" s="343" t="s">
        <v>2135</v>
      </c>
      <c r="W191" s="343"/>
      <c r="X191" s="352"/>
      <c r="Y191" s="352"/>
      <c r="Z191" s="352"/>
      <c r="AA191" s="352" t="s">
        <v>2136</v>
      </c>
      <c r="AB191" s="352"/>
      <c r="AC191" s="352"/>
      <c r="AD191" s="352"/>
      <c r="AE191" s="368" t="s">
        <v>2137</v>
      </c>
      <c r="AF191" s="368"/>
      <c r="AG191" s="368"/>
    </row>
    <row r="192" spans="1:33" ht="12.75">
      <c r="A192" s="367"/>
      <c r="B192" s="343" t="s">
        <v>2138</v>
      </c>
      <c r="C192" s="343"/>
      <c r="D192" s="343"/>
      <c r="E192" s="343"/>
      <c r="F192" s="343"/>
      <c r="G192" s="343"/>
      <c r="H192" s="343"/>
      <c r="I192" s="343"/>
      <c r="J192" s="343"/>
      <c r="K192" s="343"/>
      <c r="L192" s="343"/>
      <c r="M192" s="343"/>
      <c r="N192" s="343"/>
      <c r="O192" s="343"/>
      <c r="P192" s="343"/>
      <c r="Q192" s="343"/>
      <c r="R192" s="343"/>
      <c r="S192" s="343"/>
      <c r="T192" s="343"/>
      <c r="U192" s="343"/>
      <c r="V192" s="343" t="s">
        <v>2139</v>
      </c>
      <c r="W192" s="343"/>
      <c r="X192" s="352"/>
      <c r="Y192" s="352"/>
      <c r="Z192" s="352"/>
      <c r="AA192" s="352"/>
      <c r="AB192" s="352"/>
      <c r="AC192" s="352"/>
      <c r="AD192" s="352"/>
      <c r="AE192" s="352"/>
      <c r="AF192" s="352"/>
      <c r="AG192" s="352"/>
    </row>
    <row r="193" spans="1:33" ht="13.5" thickBot="1">
      <c r="A193" s="367"/>
      <c r="B193" s="345" t="s">
        <v>2140</v>
      </c>
      <c r="C193" s="345"/>
      <c r="D193" s="345"/>
      <c r="E193" s="345"/>
      <c r="F193" s="345"/>
      <c r="G193" s="345"/>
      <c r="H193" s="345"/>
      <c r="I193" s="345"/>
      <c r="J193" s="345"/>
      <c r="K193" s="345"/>
      <c r="L193" s="345"/>
      <c r="M193" s="345"/>
      <c r="N193" s="345"/>
      <c r="O193" s="345"/>
      <c r="P193" s="345"/>
      <c r="Q193" s="345"/>
      <c r="R193" s="345"/>
      <c r="S193" s="345"/>
      <c r="T193" s="345"/>
      <c r="U193" s="345"/>
      <c r="V193" s="345" t="s">
        <v>2141</v>
      </c>
      <c r="W193" s="345"/>
      <c r="X193" s="353"/>
      <c r="Y193" s="353"/>
      <c r="Z193" s="353"/>
      <c r="AA193" s="353"/>
      <c r="AB193" s="353"/>
      <c r="AC193" s="353"/>
      <c r="AD193" s="353"/>
      <c r="AE193" s="353"/>
      <c r="AF193" s="353"/>
      <c r="AG193" s="353"/>
    </row>
    <row r="194" spans="1:33" ht="12.75">
      <c r="A194" s="366" t="s">
        <v>2142</v>
      </c>
      <c r="B194" s="366"/>
      <c r="C194" s="366"/>
      <c r="D194" s="366"/>
      <c r="E194" s="366"/>
      <c r="F194" s="366"/>
      <c r="G194" s="366"/>
      <c r="H194" s="366"/>
      <c r="I194" s="366"/>
      <c r="J194" s="366"/>
      <c r="K194" s="366"/>
      <c r="L194" s="366"/>
      <c r="M194" s="366"/>
      <c r="N194" s="366"/>
      <c r="O194" s="366"/>
      <c r="P194" s="366"/>
      <c r="Q194" s="366"/>
      <c r="R194" s="366"/>
      <c r="S194" s="366"/>
      <c r="T194" s="366"/>
      <c r="U194" s="366"/>
      <c r="V194" s="366"/>
      <c r="W194" s="366"/>
      <c r="X194" s="366"/>
      <c r="Y194" s="366"/>
      <c r="Z194" s="366"/>
      <c r="AA194" s="366"/>
      <c r="AB194" s="366"/>
      <c r="AC194" s="366"/>
      <c r="AD194" s="366"/>
      <c r="AE194" s="366"/>
      <c r="AF194" s="366"/>
      <c r="AG194" s="366"/>
    </row>
    <row r="195" spans="1:33" ht="12.75">
      <c r="A195" s="367"/>
      <c r="B195" s="343" t="s">
        <v>2143</v>
      </c>
      <c r="C195" s="343"/>
      <c r="D195" s="343"/>
      <c r="E195" s="343"/>
      <c r="F195" s="343"/>
      <c r="G195" s="343"/>
      <c r="H195" s="343"/>
      <c r="I195" s="343"/>
      <c r="J195" s="343"/>
      <c r="K195" s="343"/>
      <c r="L195" s="343"/>
      <c r="M195" s="343"/>
      <c r="N195" s="343"/>
      <c r="O195" s="343"/>
      <c r="P195" s="343"/>
      <c r="Q195" s="343"/>
      <c r="R195" s="343"/>
      <c r="S195" s="343"/>
      <c r="T195" s="343"/>
      <c r="U195" s="343"/>
      <c r="V195" s="343" t="s">
        <v>2144</v>
      </c>
      <c r="W195" s="343"/>
      <c r="X195" s="352"/>
      <c r="Y195" s="352"/>
      <c r="Z195" s="352"/>
      <c r="AA195" s="352"/>
      <c r="AB195" s="352"/>
      <c r="AC195" s="352"/>
      <c r="AD195" s="352"/>
      <c r="AE195" s="352"/>
      <c r="AF195" s="352"/>
      <c r="AG195" s="352"/>
    </row>
    <row r="196" spans="1:33" ht="12.75">
      <c r="A196" s="367"/>
      <c r="B196" s="343" t="s">
        <v>2145</v>
      </c>
      <c r="C196" s="343"/>
      <c r="D196" s="343"/>
      <c r="E196" s="343"/>
      <c r="F196" s="343"/>
      <c r="G196" s="343"/>
      <c r="H196" s="343"/>
      <c r="I196" s="343"/>
      <c r="J196" s="343"/>
      <c r="K196" s="343"/>
      <c r="L196" s="343"/>
      <c r="M196" s="343"/>
      <c r="N196" s="343"/>
      <c r="O196" s="343"/>
      <c r="P196" s="343"/>
      <c r="Q196" s="343"/>
      <c r="R196" s="343"/>
      <c r="S196" s="343"/>
      <c r="T196" s="343"/>
      <c r="U196" s="343"/>
      <c r="V196" s="343" t="s">
        <v>2146</v>
      </c>
      <c r="W196" s="343"/>
      <c r="X196" s="352"/>
      <c r="Y196" s="352"/>
      <c r="Z196" s="352"/>
      <c r="AA196" s="352"/>
      <c r="AB196" s="352"/>
      <c r="AC196" s="352"/>
      <c r="AD196" s="352"/>
      <c r="AE196" s="352"/>
      <c r="AF196" s="352"/>
      <c r="AG196" s="352"/>
    </row>
    <row r="197" spans="1:33" ht="12.75">
      <c r="A197" s="367"/>
      <c r="B197" s="343" t="s">
        <v>2147</v>
      </c>
      <c r="C197" s="343"/>
      <c r="D197" s="343"/>
      <c r="E197" s="343"/>
      <c r="F197" s="343"/>
      <c r="G197" s="343"/>
      <c r="H197" s="343"/>
      <c r="I197" s="343"/>
      <c r="J197" s="343"/>
      <c r="K197" s="343"/>
      <c r="L197" s="343"/>
      <c r="M197" s="343"/>
      <c r="N197" s="343"/>
      <c r="O197" s="343"/>
      <c r="P197" s="343"/>
      <c r="Q197" s="343"/>
      <c r="R197" s="343"/>
      <c r="S197" s="343"/>
      <c r="T197" s="343"/>
      <c r="U197" s="343"/>
      <c r="V197" s="343" t="s">
        <v>2148</v>
      </c>
      <c r="W197" s="343"/>
      <c r="X197" s="352"/>
      <c r="Y197" s="352"/>
      <c r="Z197" s="352"/>
      <c r="AA197" s="352"/>
      <c r="AB197" s="352"/>
      <c r="AC197" s="352"/>
      <c r="AD197" s="352"/>
      <c r="AE197" s="352"/>
      <c r="AF197" s="352"/>
      <c r="AG197" s="352"/>
    </row>
    <row r="198" spans="1:33" ht="12.75">
      <c r="A198" s="367"/>
      <c r="B198" s="343" t="s">
        <v>2149</v>
      </c>
      <c r="C198" s="343"/>
      <c r="D198" s="343"/>
      <c r="E198" s="343"/>
      <c r="F198" s="343"/>
      <c r="G198" s="343"/>
      <c r="H198" s="343"/>
      <c r="I198" s="343"/>
      <c r="J198" s="343"/>
      <c r="K198" s="343"/>
      <c r="L198" s="343"/>
      <c r="M198" s="343"/>
      <c r="N198" s="343"/>
      <c r="O198" s="343"/>
      <c r="P198" s="343"/>
      <c r="Q198" s="343"/>
      <c r="R198" s="343"/>
      <c r="S198" s="343"/>
      <c r="T198" s="343"/>
      <c r="U198" s="343"/>
      <c r="V198" s="343" t="s">
        <v>2150</v>
      </c>
      <c r="W198" s="343"/>
      <c r="X198" s="352"/>
      <c r="Y198" s="352"/>
      <c r="Z198" s="352"/>
      <c r="AA198" s="352"/>
      <c r="AB198" s="352"/>
      <c r="AC198" s="352"/>
      <c r="AD198" s="352"/>
      <c r="AE198" s="352"/>
      <c r="AF198" s="352"/>
      <c r="AG198" s="352"/>
    </row>
    <row r="199" spans="1:33" ht="12.75">
      <c r="A199" s="367"/>
      <c r="B199" s="343" t="s">
        <v>2151</v>
      </c>
      <c r="C199" s="343"/>
      <c r="D199" s="343"/>
      <c r="E199" s="343"/>
      <c r="F199" s="343"/>
      <c r="G199" s="343"/>
      <c r="H199" s="343"/>
      <c r="I199" s="343"/>
      <c r="J199" s="343"/>
      <c r="K199" s="343"/>
      <c r="L199" s="343"/>
      <c r="M199" s="343"/>
      <c r="N199" s="343"/>
      <c r="O199" s="343"/>
      <c r="P199" s="343"/>
      <c r="Q199" s="343"/>
      <c r="R199" s="343"/>
      <c r="S199" s="343"/>
      <c r="T199" s="343"/>
      <c r="U199" s="343"/>
      <c r="V199" s="343" t="s">
        <v>2152</v>
      </c>
      <c r="W199" s="343"/>
      <c r="X199" s="352"/>
      <c r="Y199" s="352"/>
      <c r="Z199" s="352"/>
      <c r="AA199" s="352"/>
      <c r="AB199" s="352"/>
      <c r="AC199" s="352"/>
      <c r="AD199" s="352"/>
      <c r="AE199" s="352"/>
      <c r="AF199" s="352"/>
      <c r="AG199" s="352"/>
    </row>
    <row r="200" spans="1:33" ht="12.75">
      <c r="A200" s="367"/>
      <c r="B200" s="343" t="s">
        <v>2153</v>
      </c>
      <c r="C200" s="343"/>
      <c r="D200" s="343"/>
      <c r="E200" s="343"/>
      <c r="F200" s="343"/>
      <c r="G200" s="343"/>
      <c r="H200" s="343"/>
      <c r="I200" s="343"/>
      <c r="J200" s="343"/>
      <c r="K200" s="343"/>
      <c r="L200" s="343"/>
      <c r="M200" s="343"/>
      <c r="N200" s="343"/>
      <c r="O200" s="343"/>
      <c r="P200" s="343"/>
      <c r="Q200" s="343"/>
      <c r="R200" s="343"/>
      <c r="S200" s="343"/>
      <c r="T200" s="343"/>
      <c r="U200" s="343"/>
      <c r="V200" s="343" t="s">
        <v>2154</v>
      </c>
      <c r="W200" s="343"/>
      <c r="X200" s="352"/>
      <c r="Y200" s="352"/>
      <c r="Z200" s="352"/>
      <c r="AA200" s="352"/>
      <c r="AB200" s="352"/>
      <c r="AC200" s="352"/>
      <c r="AD200" s="352"/>
      <c r="AE200" s="352"/>
      <c r="AF200" s="352"/>
      <c r="AG200" s="352"/>
    </row>
    <row r="201" spans="1:33" ht="13.5" thickBot="1">
      <c r="A201" s="367"/>
      <c r="B201" s="345" t="s">
        <v>2155</v>
      </c>
      <c r="C201" s="345"/>
      <c r="D201" s="345"/>
      <c r="E201" s="345"/>
      <c r="F201" s="345"/>
      <c r="G201" s="345"/>
      <c r="H201" s="345"/>
      <c r="I201" s="345"/>
      <c r="J201" s="345"/>
      <c r="K201" s="345"/>
      <c r="L201" s="345"/>
      <c r="M201" s="345"/>
      <c r="N201" s="345"/>
      <c r="O201" s="345"/>
      <c r="P201" s="345"/>
      <c r="Q201" s="345"/>
      <c r="R201" s="345"/>
      <c r="S201" s="345"/>
      <c r="T201" s="345"/>
      <c r="U201" s="345"/>
      <c r="V201" s="345" t="s">
        <v>2156</v>
      </c>
      <c r="W201" s="345"/>
      <c r="X201" s="353"/>
      <c r="Y201" s="353"/>
      <c r="Z201" s="353"/>
      <c r="AA201" s="353"/>
      <c r="AB201" s="353"/>
      <c r="AC201" s="353"/>
      <c r="AD201" s="353"/>
      <c r="AE201" s="353"/>
      <c r="AF201" s="353"/>
      <c r="AG201" s="353"/>
    </row>
    <row r="202" spans="1:33" ht="13.5" thickBot="1">
      <c r="A202" s="350" t="s">
        <v>2124</v>
      </c>
      <c r="B202" s="350"/>
      <c r="C202" s="350"/>
      <c r="D202" s="350"/>
      <c r="E202" s="350"/>
      <c r="F202" s="350"/>
      <c r="G202" s="350"/>
      <c r="H202" s="350"/>
      <c r="I202" s="350"/>
      <c r="J202" s="350"/>
      <c r="K202" s="350"/>
      <c r="L202" s="350"/>
      <c r="M202" s="350"/>
      <c r="N202" s="350"/>
      <c r="O202" s="350"/>
      <c r="P202" s="350"/>
      <c r="Q202" s="350"/>
      <c r="R202" s="351" t="s">
        <v>1575</v>
      </c>
      <c r="S202" s="351"/>
      <c r="T202" s="351"/>
      <c r="U202" s="351"/>
      <c r="V202" s="351"/>
      <c r="W202" s="351"/>
      <c r="X202" s="351"/>
      <c r="Y202" s="351"/>
      <c r="Z202" s="351"/>
      <c r="AA202" s="351" t="s">
        <v>1576</v>
      </c>
      <c r="AB202" s="351"/>
      <c r="AC202" s="351"/>
      <c r="AD202" s="351"/>
      <c r="AE202" s="351" t="s">
        <v>1577</v>
      </c>
      <c r="AF202" s="351"/>
      <c r="AG202" s="351"/>
    </row>
    <row r="203" spans="1:33" ht="12.75">
      <c r="A203" s="366" t="s">
        <v>2157</v>
      </c>
      <c r="B203" s="366"/>
      <c r="C203" s="366"/>
      <c r="D203" s="366"/>
      <c r="E203" s="366"/>
      <c r="F203" s="366"/>
      <c r="G203" s="366"/>
      <c r="H203" s="366"/>
      <c r="I203" s="366"/>
      <c r="J203" s="366"/>
      <c r="K203" s="366"/>
      <c r="L203" s="366"/>
      <c r="M203" s="366"/>
      <c r="N203" s="366"/>
      <c r="O203" s="366"/>
      <c r="P203" s="366"/>
      <c r="Q203" s="366"/>
      <c r="R203" s="366"/>
      <c r="S203" s="366"/>
      <c r="T203" s="366"/>
      <c r="U203" s="366"/>
      <c r="V203" s="366"/>
      <c r="W203" s="366"/>
      <c r="X203" s="366"/>
      <c r="Y203" s="366"/>
      <c r="Z203" s="366"/>
      <c r="AA203" s="366"/>
      <c r="AB203" s="366"/>
      <c r="AC203" s="366"/>
      <c r="AD203" s="366"/>
      <c r="AE203" s="366"/>
      <c r="AF203" s="366"/>
      <c r="AG203" s="366"/>
    </row>
    <row r="204" spans="1:33" ht="12.75">
      <c r="A204" s="367"/>
      <c r="B204" s="343" t="s">
        <v>2126</v>
      </c>
      <c r="C204" s="343"/>
      <c r="D204" s="343"/>
      <c r="E204" s="343"/>
      <c r="F204" s="343"/>
      <c r="G204" s="343"/>
      <c r="H204" s="343"/>
      <c r="I204" s="343"/>
      <c r="J204" s="343"/>
      <c r="K204" s="343"/>
      <c r="L204" s="343"/>
      <c r="M204" s="343"/>
      <c r="N204" s="343"/>
      <c r="O204" s="343"/>
      <c r="P204" s="343"/>
      <c r="Q204" s="343"/>
      <c r="R204" s="343"/>
      <c r="S204" s="343"/>
      <c r="T204" s="343"/>
      <c r="U204" s="343"/>
      <c r="V204" s="343" t="s">
        <v>2158</v>
      </c>
      <c r="W204" s="343"/>
      <c r="X204" s="352"/>
      <c r="Y204" s="352"/>
      <c r="Z204" s="352"/>
      <c r="AA204" s="352"/>
      <c r="AB204" s="352"/>
      <c r="AC204" s="352"/>
      <c r="AD204" s="352"/>
      <c r="AE204" s="352"/>
      <c r="AF204" s="352"/>
      <c r="AG204" s="352"/>
    </row>
    <row r="205" spans="1:33" ht="12.75">
      <c r="A205" s="367"/>
      <c r="B205" s="343" t="s">
        <v>2128</v>
      </c>
      <c r="C205" s="343"/>
      <c r="D205" s="343"/>
      <c r="E205" s="343"/>
      <c r="F205" s="343"/>
      <c r="G205" s="343"/>
      <c r="H205" s="343"/>
      <c r="I205" s="343"/>
      <c r="J205" s="343"/>
      <c r="K205" s="343"/>
      <c r="L205" s="343"/>
      <c r="M205" s="343"/>
      <c r="N205" s="343"/>
      <c r="O205" s="343"/>
      <c r="P205" s="343"/>
      <c r="Q205" s="343"/>
      <c r="R205" s="343"/>
      <c r="S205" s="343"/>
      <c r="T205" s="343"/>
      <c r="U205" s="343"/>
      <c r="V205" s="343" t="s">
        <v>2159</v>
      </c>
      <c r="W205" s="343"/>
      <c r="X205" s="352"/>
      <c r="Y205" s="352"/>
      <c r="Z205" s="352"/>
      <c r="AA205" s="352"/>
      <c r="AB205" s="352"/>
      <c r="AC205" s="352"/>
      <c r="AD205" s="352"/>
      <c r="AE205" s="352"/>
      <c r="AF205" s="352"/>
      <c r="AG205" s="352"/>
    </row>
    <row r="206" spans="1:33" ht="12.75">
      <c r="A206" s="367"/>
      <c r="B206" s="343" t="s">
        <v>2130</v>
      </c>
      <c r="C206" s="343"/>
      <c r="D206" s="343"/>
      <c r="E206" s="343"/>
      <c r="F206" s="343"/>
      <c r="G206" s="343"/>
      <c r="H206" s="343"/>
      <c r="I206" s="343"/>
      <c r="J206" s="343"/>
      <c r="K206" s="343"/>
      <c r="L206" s="343"/>
      <c r="M206" s="343"/>
      <c r="N206" s="343"/>
      <c r="O206" s="343"/>
      <c r="P206" s="343"/>
      <c r="Q206" s="343"/>
      <c r="R206" s="343"/>
      <c r="S206" s="343"/>
      <c r="T206" s="343"/>
      <c r="U206" s="343"/>
      <c r="V206" s="343" t="s">
        <v>2160</v>
      </c>
      <c r="W206" s="343"/>
      <c r="X206" s="352"/>
      <c r="Y206" s="352"/>
      <c r="Z206" s="352"/>
      <c r="AA206" s="352"/>
      <c r="AB206" s="352"/>
      <c r="AC206" s="352"/>
      <c r="AD206" s="352"/>
      <c r="AE206" s="352"/>
      <c r="AF206" s="352"/>
      <c r="AG206" s="352"/>
    </row>
    <row r="207" spans="1:33" ht="12.75">
      <c r="A207" s="367"/>
      <c r="B207" s="343" t="s">
        <v>2132</v>
      </c>
      <c r="C207" s="343"/>
      <c r="D207" s="343"/>
      <c r="E207" s="343"/>
      <c r="F207" s="343"/>
      <c r="G207" s="343"/>
      <c r="H207" s="343"/>
      <c r="I207" s="343"/>
      <c r="J207" s="343"/>
      <c r="K207" s="343"/>
      <c r="L207" s="343"/>
      <c r="M207" s="343"/>
      <c r="N207" s="343"/>
      <c r="O207" s="343"/>
      <c r="P207" s="343"/>
      <c r="Q207" s="343"/>
      <c r="R207" s="343"/>
      <c r="S207" s="343"/>
      <c r="T207" s="343"/>
      <c r="U207" s="343"/>
      <c r="V207" s="343" t="s">
        <v>2161</v>
      </c>
      <c r="W207" s="343"/>
      <c r="X207" s="352"/>
      <c r="Y207" s="352"/>
      <c r="Z207" s="352"/>
      <c r="AA207" s="352"/>
      <c r="AB207" s="352"/>
      <c r="AC207" s="352"/>
      <c r="AD207" s="352"/>
      <c r="AE207" s="352"/>
      <c r="AF207" s="352"/>
      <c r="AG207" s="352"/>
    </row>
    <row r="208" spans="1:33" ht="12.75">
      <c r="A208" s="367"/>
      <c r="B208" s="343" t="s">
        <v>2134</v>
      </c>
      <c r="C208" s="343"/>
      <c r="D208" s="343"/>
      <c r="E208" s="343"/>
      <c r="F208" s="343"/>
      <c r="G208" s="343"/>
      <c r="H208" s="343"/>
      <c r="I208" s="343"/>
      <c r="J208" s="343"/>
      <c r="K208" s="343"/>
      <c r="L208" s="343"/>
      <c r="M208" s="343"/>
      <c r="N208" s="343"/>
      <c r="O208" s="343"/>
      <c r="P208" s="343"/>
      <c r="Q208" s="343"/>
      <c r="R208" s="343"/>
      <c r="S208" s="343"/>
      <c r="T208" s="343"/>
      <c r="U208" s="343"/>
      <c r="V208" s="343" t="s">
        <v>2162</v>
      </c>
      <c r="W208" s="343"/>
      <c r="X208" s="352"/>
      <c r="Y208" s="352"/>
      <c r="Z208" s="352"/>
      <c r="AA208" s="352"/>
      <c r="AB208" s="352"/>
      <c r="AC208" s="352"/>
      <c r="AD208" s="352"/>
      <c r="AE208" s="352"/>
      <c r="AF208" s="352"/>
      <c r="AG208" s="352"/>
    </row>
    <row r="209" spans="1:33" ht="12.75">
      <c r="A209" s="367"/>
      <c r="B209" s="343" t="s">
        <v>2138</v>
      </c>
      <c r="C209" s="343"/>
      <c r="D209" s="343"/>
      <c r="E209" s="343"/>
      <c r="F209" s="343"/>
      <c r="G209" s="343"/>
      <c r="H209" s="343"/>
      <c r="I209" s="343"/>
      <c r="J209" s="343"/>
      <c r="K209" s="343"/>
      <c r="L209" s="343"/>
      <c r="M209" s="343"/>
      <c r="N209" s="343"/>
      <c r="O209" s="343"/>
      <c r="P209" s="343"/>
      <c r="Q209" s="343"/>
      <c r="R209" s="343"/>
      <c r="S209" s="343"/>
      <c r="T209" s="343"/>
      <c r="U209" s="343"/>
      <c r="V209" s="343" t="s">
        <v>2163</v>
      </c>
      <c r="W209" s="343"/>
      <c r="X209" s="352"/>
      <c r="Y209" s="352"/>
      <c r="Z209" s="352"/>
      <c r="AA209" s="352"/>
      <c r="AB209" s="352"/>
      <c r="AC209" s="352"/>
      <c r="AD209" s="352"/>
      <c r="AE209" s="352"/>
      <c r="AF209" s="352"/>
      <c r="AG209" s="352"/>
    </row>
    <row r="210" spans="1:33" ht="13.5" thickBot="1">
      <c r="A210" s="367"/>
      <c r="B210" s="345" t="s">
        <v>2140</v>
      </c>
      <c r="C210" s="345"/>
      <c r="D210" s="345"/>
      <c r="E210" s="345"/>
      <c r="F210" s="345"/>
      <c r="G210" s="345"/>
      <c r="H210" s="345"/>
      <c r="I210" s="345"/>
      <c r="J210" s="345"/>
      <c r="K210" s="345"/>
      <c r="L210" s="345"/>
      <c r="M210" s="345"/>
      <c r="N210" s="345"/>
      <c r="O210" s="345"/>
      <c r="P210" s="345"/>
      <c r="Q210" s="345"/>
      <c r="R210" s="345"/>
      <c r="S210" s="345"/>
      <c r="T210" s="345"/>
      <c r="U210" s="345"/>
      <c r="V210" s="345" t="s">
        <v>2164</v>
      </c>
      <c r="W210" s="345"/>
      <c r="X210" s="353"/>
      <c r="Y210" s="353"/>
      <c r="Z210" s="353"/>
      <c r="AA210" s="353"/>
      <c r="AB210" s="353"/>
      <c r="AC210" s="353"/>
      <c r="AD210" s="353"/>
      <c r="AE210" s="353"/>
      <c r="AF210" s="353"/>
      <c r="AG210" s="353"/>
    </row>
    <row r="211" spans="1:33" ht="12.75">
      <c r="A211" s="366" t="s">
        <v>2165</v>
      </c>
      <c r="B211" s="366"/>
      <c r="C211" s="366"/>
      <c r="D211" s="366"/>
      <c r="E211" s="366"/>
      <c r="F211" s="366"/>
      <c r="G211" s="366"/>
      <c r="H211" s="366"/>
      <c r="I211" s="366"/>
      <c r="J211" s="366"/>
      <c r="K211" s="366"/>
      <c r="L211" s="366"/>
      <c r="M211" s="366"/>
      <c r="N211" s="366"/>
      <c r="O211" s="366"/>
      <c r="P211" s="366"/>
      <c r="Q211" s="366"/>
      <c r="R211" s="366"/>
      <c r="S211" s="366"/>
      <c r="T211" s="366"/>
      <c r="U211" s="366"/>
      <c r="V211" s="366"/>
      <c r="W211" s="366"/>
      <c r="X211" s="366"/>
      <c r="Y211" s="366"/>
      <c r="Z211" s="366"/>
      <c r="AA211" s="366"/>
      <c r="AB211" s="366"/>
      <c r="AC211" s="366"/>
      <c r="AD211" s="366"/>
      <c r="AE211" s="366"/>
      <c r="AF211" s="366"/>
      <c r="AG211" s="366"/>
    </row>
    <row r="212" spans="1:33" ht="12.75">
      <c r="A212" s="367"/>
      <c r="B212" s="343" t="s">
        <v>2143</v>
      </c>
      <c r="C212" s="343"/>
      <c r="D212" s="343"/>
      <c r="E212" s="343"/>
      <c r="F212" s="343"/>
      <c r="G212" s="343"/>
      <c r="H212" s="343"/>
      <c r="I212" s="343"/>
      <c r="J212" s="343"/>
      <c r="K212" s="343"/>
      <c r="L212" s="343"/>
      <c r="M212" s="343"/>
      <c r="N212" s="343"/>
      <c r="O212" s="343"/>
      <c r="P212" s="343"/>
      <c r="Q212" s="343"/>
      <c r="R212" s="343"/>
      <c r="S212" s="343"/>
      <c r="T212" s="343"/>
      <c r="U212" s="343"/>
      <c r="V212" s="343" t="s">
        <v>2166</v>
      </c>
      <c r="W212" s="343"/>
      <c r="X212" s="352"/>
      <c r="Y212" s="352"/>
      <c r="Z212" s="352"/>
      <c r="AA212" s="352"/>
      <c r="AB212" s="352"/>
      <c r="AC212" s="352"/>
      <c r="AD212" s="352"/>
      <c r="AE212" s="352"/>
      <c r="AF212" s="352"/>
      <c r="AG212" s="352"/>
    </row>
    <row r="213" spans="1:33" ht="12.75">
      <c r="A213" s="367"/>
      <c r="B213" s="343" t="s">
        <v>2145</v>
      </c>
      <c r="C213" s="343"/>
      <c r="D213" s="343"/>
      <c r="E213" s="343"/>
      <c r="F213" s="343"/>
      <c r="G213" s="343"/>
      <c r="H213" s="343"/>
      <c r="I213" s="343"/>
      <c r="J213" s="343"/>
      <c r="K213" s="343"/>
      <c r="L213" s="343"/>
      <c r="M213" s="343"/>
      <c r="N213" s="343"/>
      <c r="O213" s="343"/>
      <c r="P213" s="343"/>
      <c r="Q213" s="343"/>
      <c r="R213" s="343"/>
      <c r="S213" s="343"/>
      <c r="T213" s="343"/>
      <c r="U213" s="343"/>
      <c r="V213" s="343" t="s">
        <v>2167</v>
      </c>
      <c r="W213" s="343"/>
      <c r="X213" s="352"/>
      <c r="Y213" s="352"/>
      <c r="Z213" s="352"/>
      <c r="AA213" s="352"/>
      <c r="AB213" s="352"/>
      <c r="AC213" s="352"/>
      <c r="AD213" s="352"/>
      <c r="AE213" s="352"/>
      <c r="AF213" s="352"/>
      <c r="AG213" s="352"/>
    </row>
    <row r="214" spans="1:33" ht="12.75">
      <c r="A214" s="367"/>
      <c r="B214" s="343" t="s">
        <v>2147</v>
      </c>
      <c r="C214" s="343"/>
      <c r="D214" s="343"/>
      <c r="E214" s="343"/>
      <c r="F214" s="343"/>
      <c r="G214" s="343"/>
      <c r="H214" s="343"/>
      <c r="I214" s="343"/>
      <c r="J214" s="343"/>
      <c r="K214" s="343"/>
      <c r="L214" s="343"/>
      <c r="M214" s="343"/>
      <c r="N214" s="343"/>
      <c r="O214" s="343"/>
      <c r="P214" s="343"/>
      <c r="Q214" s="343"/>
      <c r="R214" s="343"/>
      <c r="S214" s="343"/>
      <c r="T214" s="343"/>
      <c r="U214" s="343"/>
      <c r="V214" s="343" t="s">
        <v>2168</v>
      </c>
      <c r="W214" s="343"/>
      <c r="X214" s="352"/>
      <c r="Y214" s="352"/>
      <c r="Z214" s="352"/>
      <c r="AA214" s="352"/>
      <c r="AB214" s="352"/>
      <c r="AC214" s="352"/>
      <c r="AD214" s="352"/>
      <c r="AE214" s="352"/>
      <c r="AF214" s="352"/>
      <c r="AG214" s="352"/>
    </row>
    <row r="215" spans="1:33" ht="12.75">
      <c r="A215" s="367"/>
      <c r="B215" s="343" t="s">
        <v>2149</v>
      </c>
      <c r="C215" s="343"/>
      <c r="D215" s="343"/>
      <c r="E215" s="343"/>
      <c r="F215" s="343"/>
      <c r="G215" s="343"/>
      <c r="H215" s="343"/>
      <c r="I215" s="343"/>
      <c r="J215" s="343"/>
      <c r="K215" s="343"/>
      <c r="L215" s="343"/>
      <c r="M215" s="343"/>
      <c r="N215" s="343"/>
      <c r="O215" s="343"/>
      <c r="P215" s="343"/>
      <c r="Q215" s="343"/>
      <c r="R215" s="343"/>
      <c r="S215" s="343"/>
      <c r="T215" s="343"/>
      <c r="U215" s="343"/>
      <c r="V215" s="343" t="s">
        <v>2169</v>
      </c>
      <c r="W215" s="343"/>
      <c r="X215" s="352"/>
      <c r="Y215" s="352"/>
      <c r="Z215" s="352"/>
      <c r="AA215" s="352"/>
      <c r="AB215" s="352"/>
      <c r="AC215" s="352"/>
      <c r="AD215" s="352"/>
      <c r="AE215" s="352"/>
      <c r="AF215" s="352"/>
      <c r="AG215" s="352"/>
    </row>
    <row r="216" spans="1:33" ht="12.75">
      <c r="A216" s="367"/>
      <c r="B216" s="343" t="s">
        <v>2151</v>
      </c>
      <c r="C216" s="343"/>
      <c r="D216" s="343"/>
      <c r="E216" s="343"/>
      <c r="F216" s="343"/>
      <c r="G216" s="343"/>
      <c r="H216" s="343"/>
      <c r="I216" s="343"/>
      <c r="J216" s="343"/>
      <c r="K216" s="343"/>
      <c r="L216" s="343"/>
      <c r="M216" s="343"/>
      <c r="N216" s="343"/>
      <c r="O216" s="343"/>
      <c r="P216" s="343"/>
      <c r="Q216" s="343"/>
      <c r="R216" s="343"/>
      <c r="S216" s="343"/>
      <c r="T216" s="343"/>
      <c r="U216" s="343"/>
      <c r="V216" s="343" t="s">
        <v>2170</v>
      </c>
      <c r="W216" s="343"/>
      <c r="X216" s="352"/>
      <c r="Y216" s="352"/>
      <c r="Z216" s="352"/>
      <c r="AA216" s="352"/>
      <c r="AB216" s="352"/>
      <c r="AC216" s="352"/>
      <c r="AD216" s="352"/>
      <c r="AE216" s="352"/>
      <c r="AF216" s="352"/>
      <c r="AG216" s="352"/>
    </row>
    <row r="217" spans="1:33" ht="12.75">
      <c r="A217" s="367"/>
      <c r="B217" s="343" t="s">
        <v>2153</v>
      </c>
      <c r="C217" s="343"/>
      <c r="D217" s="343"/>
      <c r="E217" s="343"/>
      <c r="F217" s="343"/>
      <c r="G217" s="343"/>
      <c r="H217" s="343"/>
      <c r="I217" s="343"/>
      <c r="J217" s="343"/>
      <c r="K217" s="343"/>
      <c r="L217" s="343"/>
      <c r="M217" s="343"/>
      <c r="N217" s="343"/>
      <c r="O217" s="343"/>
      <c r="P217" s="343"/>
      <c r="Q217" s="343"/>
      <c r="R217" s="343"/>
      <c r="S217" s="343"/>
      <c r="T217" s="343"/>
      <c r="U217" s="343"/>
      <c r="V217" s="343" t="s">
        <v>2171</v>
      </c>
      <c r="W217" s="343"/>
      <c r="X217" s="352"/>
      <c r="Y217" s="352"/>
      <c r="Z217" s="352"/>
      <c r="AA217" s="352"/>
      <c r="AB217" s="352"/>
      <c r="AC217" s="352"/>
      <c r="AD217" s="352"/>
      <c r="AE217" s="352"/>
      <c r="AF217" s="352"/>
      <c r="AG217" s="352"/>
    </row>
    <row r="218" spans="1:33" ht="13.5" thickBot="1">
      <c r="A218" s="367"/>
      <c r="B218" s="345" t="s">
        <v>2155</v>
      </c>
      <c r="C218" s="345"/>
      <c r="D218" s="345"/>
      <c r="E218" s="345"/>
      <c r="F218" s="345"/>
      <c r="G218" s="345"/>
      <c r="H218" s="345"/>
      <c r="I218" s="345"/>
      <c r="J218" s="345"/>
      <c r="K218" s="345"/>
      <c r="L218" s="345"/>
      <c r="M218" s="345"/>
      <c r="N218" s="345"/>
      <c r="O218" s="345"/>
      <c r="P218" s="345"/>
      <c r="Q218" s="345"/>
      <c r="R218" s="345"/>
      <c r="S218" s="345"/>
      <c r="T218" s="345"/>
      <c r="U218" s="345"/>
      <c r="V218" s="345" t="s">
        <v>2172</v>
      </c>
      <c r="W218" s="345"/>
      <c r="X218" s="353"/>
      <c r="Y218" s="353"/>
      <c r="Z218" s="353"/>
      <c r="AA218" s="353"/>
      <c r="AB218" s="353"/>
      <c r="AC218" s="353"/>
      <c r="AD218" s="353"/>
      <c r="AE218" s="353"/>
      <c r="AF218" s="353"/>
      <c r="AG218" s="353"/>
    </row>
    <row r="219" spans="1:33" ht="12.75">
      <c r="A219" s="366" t="s">
        <v>2173</v>
      </c>
      <c r="B219" s="366"/>
      <c r="C219" s="366"/>
      <c r="D219" s="366"/>
      <c r="E219" s="366"/>
      <c r="F219" s="366"/>
      <c r="G219" s="366"/>
      <c r="H219" s="366"/>
      <c r="I219" s="366"/>
      <c r="J219" s="366"/>
      <c r="K219" s="366"/>
      <c r="L219" s="366"/>
      <c r="M219" s="366"/>
      <c r="N219" s="366"/>
      <c r="O219" s="366"/>
      <c r="P219" s="366"/>
      <c r="Q219" s="366"/>
      <c r="R219" s="366"/>
      <c r="S219" s="366"/>
      <c r="T219" s="366"/>
      <c r="U219" s="366"/>
      <c r="V219" s="366"/>
      <c r="W219" s="366"/>
      <c r="X219" s="366"/>
      <c r="Y219" s="366"/>
      <c r="Z219" s="366"/>
      <c r="AA219" s="366"/>
      <c r="AB219" s="366"/>
      <c r="AC219" s="366"/>
      <c r="AD219" s="366"/>
      <c r="AE219" s="366"/>
      <c r="AF219" s="366"/>
      <c r="AG219" s="366"/>
    </row>
    <row r="220" spans="1:33" ht="12.75">
      <c r="A220" s="367"/>
      <c r="B220" s="343" t="s">
        <v>2174</v>
      </c>
      <c r="C220" s="343"/>
      <c r="D220" s="343"/>
      <c r="E220" s="343"/>
      <c r="F220" s="343"/>
      <c r="G220" s="343"/>
      <c r="H220" s="343"/>
      <c r="I220" s="343"/>
      <c r="J220" s="343"/>
      <c r="K220" s="343"/>
      <c r="L220" s="343"/>
      <c r="M220" s="343"/>
      <c r="N220" s="343"/>
      <c r="O220" s="343"/>
      <c r="P220" s="343"/>
      <c r="Q220" s="343"/>
      <c r="R220" s="343"/>
      <c r="S220" s="343"/>
      <c r="T220" s="343"/>
      <c r="U220" s="343"/>
      <c r="V220" s="343"/>
      <c r="W220" s="343"/>
      <c r="X220" s="352"/>
      <c r="Y220" s="352"/>
      <c r="Z220" s="352"/>
      <c r="AA220" s="352"/>
      <c r="AB220" s="352"/>
      <c r="AC220" s="352"/>
      <c r="AD220" s="352"/>
      <c r="AE220" s="352"/>
      <c r="AF220" s="352"/>
      <c r="AG220" s="352"/>
    </row>
    <row r="221" spans="1:33" ht="12.75">
      <c r="A221" s="367"/>
      <c r="B221" s="343" t="s">
        <v>2175</v>
      </c>
      <c r="C221" s="343"/>
      <c r="D221" s="343"/>
      <c r="E221" s="343"/>
      <c r="F221" s="343"/>
      <c r="G221" s="343"/>
      <c r="H221" s="343"/>
      <c r="I221" s="343"/>
      <c r="J221" s="343"/>
      <c r="K221" s="343"/>
      <c r="L221" s="343"/>
      <c r="M221" s="343"/>
      <c r="N221" s="343"/>
      <c r="O221" s="343"/>
      <c r="P221" s="343"/>
      <c r="Q221" s="343"/>
      <c r="R221" s="343"/>
      <c r="S221" s="343"/>
      <c r="T221" s="343"/>
      <c r="U221" s="343"/>
      <c r="V221" s="343" t="s">
        <v>2176</v>
      </c>
      <c r="W221" s="343"/>
      <c r="X221" s="352"/>
      <c r="Y221" s="352"/>
      <c r="Z221" s="352"/>
      <c r="AA221" s="352"/>
      <c r="AB221" s="352"/>
      <c r="AC221" s="352"/>
      <c r="AD221" s="352"/>
      <c r="AE221" s="352"/>
      <c r="AF221" s="352"/>
      <c r="AG221" s="352"/>
    </row>
    <row r="222" spans="1:33" ht="12.75">
      <c r="A222" s="367"/>
      <c r="B222" s="343" t="s">
        <v>2177</v>
      </c>
      <c r="C222" s="343"/>
      <c r="D222" s="343"/>
      <c r="E222" s="343"/>
      <c r="F222" s="343"/>
      <c r="G222" s="343"/>
      <c r="H222" s="343"/>
      <c r="I222" s="343"/>
      <c r="J222" s="343"/>
      <c r="K222" s="343"/>
      <c r="L222" s="343"/>
      <c r="M222" s="343"/>
      <c r="N222" s="343"/>
      <c r="O222" s="343"/>
      <c r="P222" s="343"/>
      <c r="Q222" s="343"/>
      <c r="R222" s="343"/>
      <c r="S222" s="343"/>
      <c r="T222" s="343"/>
      <c r="U222" s="343"/>
      <c r="V222" s="343" t="s">
        <v>2178</v>
      </c>
      <c r="W222" s="343"/>
      <c r="X222" s="352"/>
      <c r="Y222" s="352"/>
      <c r="Z222" s="352"/>
      <c r="AA222" s="352"/>
      <c r="AB222" s="352"/>
      <c r="AC222" s="352"/>
      <c r="AD222" s="352"/>
      <c r="AE222" s="352"/>
      <c r="AF222" s="352"/>
      <c r="AG222" s="352"/>
    </row>
    <row r="223" spans="1:33" ht="13.5" thickBot="1">
      <c r="A223" s="367"/>
      <c r="B223" s="345" t="s">
        <v>2179</v>
      </c>
      <c r="C223" s="345"/>
      <c r="D223" s="345"/>
      <c r="E223" s="345"/>
      <c r="F223" s="345"/>
      <c r="G223" s="345"/>
      <c r="H223" s="345"/>
      <c r="I223" s="345"/>
      <c r="J223" s="345"/>
      <c r="K223" s="345"/>
      <c r="L223" s="345"/>
      <c r="M223" s="345"/>
      <c r="N223" s="345"/>
      <c r="O223" s="345"/>
      <c r="P223" s="345"/>
      <c r="Q223" s="345"/>
      <c r="R223" s="345"/>
      <c r="S223" s="345"/>
      <c r="T223" s="345"/>
      <c r="U223" s="345"/>
      <c r="V223" s="345" t="s">
        <v>2180</v>
      </c>
      <c r="W223" s="345"/>
      <c r="X223" s="353"/>
      <c r="Y223" s="353"/>
      <c r="Z223" s="353"/>
      <c r="AA223" s="353"/>
      <c r="AB223" s="353"/>
      <c r="AC223" s="353"/>
      <c r="AD223" s="353"/>
      <c r="AE223" s="353"/>
      <c r="AF223" s="353"/>
      <c r="AG223" s="353"/>
    </row>
    <row r="224" spans="1:33" ht="13.5" thickBot="1">
      <c r="A224" s="356" t="s">
        <v>2181</v>
      </c>
      <c r="B224" s="356"/>
      <c r="C224" s="356"/>
      <c r="D224" s="356"/>
      <c r="E224" s="356"/>
      <c r="F224" s="356"/>
      <c r="G224" s="356"/>
      <c r="H224" s="356"/>
      <c r="I224" s="356"/>
      <c r="J224" s="356"/>
      <c r="K224" s="356"/>
      <c r="L224" s="356"/>
      <c r="M224" s="356"/>
      <c r="N224" s="356"/>
      <c r="O224" s="356"/>
      <c r="P224" s="356"/>
      <c r="Q224" s="356"/>
      <c r="R224" s="356"/>
      <c r="S224" s="356"/>
      <c r="T224" s="356"/>
      <c r="U224" s="356"/>
      <c r="V224" s="356"/>
      <c r="W224" s="356"/>
      <c r="X224" s="369"/>
      <c r="Y224" s="369"/>
      <c r="Z224" s="369"/>
      <c r="AA224" s="369" t="s">
        <v>2136</v>
      </c>
      <c r="AB224" s="369"/>
      <c r="AC224" s="369"/>
      <c r="AD224" s="369"/>
      <c r="AE224" s="370" t="s">
        <v>2137</v>
      </c>
      <c r="AF224" s="370"/>
      <c r="AG224" s="370"/>
    </row>
    <row r="225" spans="1:33" ht="15.75" thickBot="1">
      <c r="A225" s="349" t="s">
        <v>2182</v>
      </c>
      <c r="B225" s="349"/>
      <c r="C225" s="349"/>
      <c r="D225" s="349"/>
      <c r="E225" s="349"/>
      <c r="F225" s="349"/>
      <c r="G225" s="349"/>
      <c r="H225" s="349"/>
      <c r="I225" s="349"/>
      <c r="J225" s="349"/>
      <c r="K225" s="349"/>
      <c r="L225" s="349"/>
      <c r="M225" s="349"/>
      <c r="N225" s="349"/>
      <c r="O225" s="349"/>
      <c r="P225" s="349"/>
      <c r="Q225" s="349"/>
      <c r="R225" s="349"/>
      <c r="S225" s="349"/>
      <c r="T225" s="349"/>
      <c r="U225" s="349"/>
      <c r="V225" s="349"/>
      <c r="W225" s="349"/>
      <c r="X225" s="349"/>
      <c r="Y225" s="349"/>
      <c r="Z225" s="349"/>
      <c r="AA225" s="349"/>
      <c r="AB225" s="349"/>
      <c r="AC225" s="349"/>
      <c r="AD225" s="349"/>
      <c r="AE225" s="349"/>
      <c r="AF225" s="349"/>
      <c r="AG225" s="349"/>
    </row>
    <row r="226" spans="1:33" ht="19.5" customHeight="1">
      <c r="A226" s="350" t="s">
        <v>2183</v>
      </c>
      <c r="B226" s="350"/>
      <c r="C226" s="350"/>
      <c r="D226" s="350"/>
      <c r="E226" s="350"/>
      <c r="F226" s="350"/>
      <c r="G226" s="350"/>
      <c r="H226" s="350"/>
      <c r="I226" s="350"/>
      <c r="J226" s="350"/>
      <c r="K226" s="350"/>
      <c r="L226" s="350"/>
      <c r="M226" s="350"/>
      <c r="N226" s="350"/>
      <c r="O226" s="350"/>
      <c r="P226" s="350"/>
      <c r="Q226" s="351" t="s">
        <v>2184</v>
      </c>
      <c r="R226" s="351"/>
      <c r="S226" s="351"/>
      <c r="T226" s="351"/>
      <c r="U226" s="351"/>
      <c r="V226" s="351"/>
      <c r="W226" s="351"/>
      <c r="X226" s="351" t="s">
        <v>2185</v>
      </c>
      <c r="Y226" s="351"/>
      <c r="Z226" s="351"/>
      <c r="AA226" s="351" t="s">
        <v>2186</v>
      </c>
      <c r="AB226" s="351"/>
      <c r="AC226" s="351"/>
      <c r="AD226" s="351"/>
      <c r="AE226" s="351" t="s">
        <v>2187</v>
      </c>
      <c r="AF226" s="351"/>
      <c r="AG226" s="351"/>
    </row>
    <row r="227" spans="1:33" ht="12.75">
      <c r="A227" s="371"/>
      <c r="B227" s="371"/>
      <c r="C227" s="371"/>
      <c r="D227" s="371"/>
      <c r="E227" s="371"/>
      <c r="F227" s="371"/>
      <c r="G227" s="371"/>
      <c r="H227" s="371"/>
      <c r="I227" s="371"/>
      <c r="J227" s="371"/>
      <c r="K227" s="371"/>
      <c r="L227" s="371"/>
      <c r="M227" s="371"/>
      <c r="N227" s="371"/>
      <c r="O227" s="371"/>
      <c r="P227" s="371"/>
      <c r="Q227" s="371"/>
      <c r="R227" s="371"/>
      <c r="S227" s="371"/>
      <c r="T227" s="371"/>
      <c r="U227" s="371"/>
      <c r="V227" s="371"/>
      <c r="W227" s="371"/>
      <c r="X227" s="371"/>
      <c r="Y227" s="371"/>
      <c r="Z227" s="371"/>
      <c r="AA227" s="371"/>
      <c r="AB227" s="371"/>
      <c r="AC227" s="371"/>
      <c r="AD227" s="371"/>
      <c r="AE227" s="371"/>
      <c r="AF227" s="371"/>
      <c r="AG227" s="371"/>
    </row>
    <row r="228" spans="1:33" ht="12.75">
      <c r="A228" s="343" t="s">
        <v>2188</v>
      </c>
      <c r="B228" s="343"/>
      <c r="C228" s="343"/>
      <c r="D228" s="343"/>
      <c r="E228" s="343"/>
      <c r="F228" s="343"/>
      <c r="G228" s="343"/>
      <c r="H228" s="343"/>
      <c r="I228" s="343"/>
      <c r="J228" s="343"/>
      <c r="K228" s="343"/>
      <c r="L228" s="343"/>
      <c r="M228" s="343"/>
      <c r="N228" s="343"/>
      <c r="O228" s="343"/>
      <c r="P228" s="343"/>
      <c r="Q228" s="352" t="s">
        <v>2189</v>
      </c>
      <c r="R228" s="352"/>
      <c r="S228" s="352"/>
      <c r="T228" s="352"/>
      <c r="U228" s="352"/>
      <c r="V228" s="352"/>
      <c r="W228" s="352"/>
      <c r="X228" s="352" t="s">
        <v>2190</v>
      </c>
      <c r="Y228" s="352"/>
      <c r="Z228" s="352"/>
      <c r="AA228" s="352" t="s">
        <v>2191</v>
      </c>
      <c r="AB228" s="352"/>
      <c r="AC228" s="352"/>
      <c r="AD228" s="352"/>
      <c r="AE228" s="368" t="s">
        <v>2192</v>
      </c>
      <c r="AF228" s="368"/>
      <c r="AG228" s="368"/>
    </row>
    <row r="229" spans="1:33" ht="12.75">
      <c r="A229" s="343" t="s">
        <v>2193</v>
      </c>
      <c r="B229" s="343"/>
      <c r="C229" s="343"/>
      <c r="D229" s="343"/>
      <c r="E229" s="343"/>
      <c r="F229" s="343"/>
      <c r="G229" s="343"/>
      <c r="H229" s="343"/>
      <c r="I229" s="343"/>
      <c r="J229" s="343"/>
      <c r="K229" s="343"/>
      <c r="L229" s="343"/>
      <c r="M229" s="343"/>
      <c r="N229" s="343"/>
      <c r="O229" s="343"/>
      <c r="P229" s="343"/>
      <c r="Q229" s="352" t="s">
        <v>2194</v>
      </c>
      <c r="R229" s="352"/>
      <c r="S229" s="352"/>
      <c r="T229" s="352"/>
      <c r="U229" s="352"/>
      <c r="V229" s="352"/>
      <c r="W229" s="352"/>
      <c r="X229" s="352" t="s">
        <v>2195</v>
      </c>
      <c r="Y229" s="352"/>
      <c r="Z229" s="352"/>
      <c r="AA229" s="352" t="s">
        <v>2196</v>
      </c>
      <c r="AB229" s="352"/>
      <c r="AC229" s="352"/>
      <c r="AD229" s="352"/>
      <c r="AE229" s="368" t="s">
        <v>2197</v>
      </c>
      <c r="AF229" s="368"/>
      <c r="AG229" s="368"/>
    </row>
    <row r="230" spans="1:33" ht="12.75">
      <c r="A230" s="343" t="s">
        <v>2198</v>
      </c>
      <c r="B230" s="343"/>
      <c r="C230" s="343"/>
      <c r="D230" s="343"/>
      <c r="E230" s="343"/>
      <c r="F230" s="343"/>
      <c r="G230" s="343"/>
      <c r="H230" s="343"/>
      <c r="I230" s="343"/>
      <c r="J230" s="343"/>
      <c r="K230" s="343"/>
      <c r="L230" s="343"/>
      <c r="M230" s="343"/>
      <c r="N230" s="343"/>
      <c r="O230" s="343"/>
      <c r="P230" s="343"/>
      <c r="Q230" s="352" t="s">
        <v>2199</v>
      </c>
      <c r="R230" s="352"/>
      <c r="S230" s="352"/>
      <c r="T230" s="352"/>
      <c r="U230" s="352"/>
      <c r="V230" s="352"/>
      <c r="W230" s="352"/>
      <c r="X230" s="352" t="s">
        <v>2122</v>
      </c>
      <c r="Y230" s="352"/>
      <c r="Z230" s="352"/>
      <c r="AA230" s="352" t="s">
        <v>2200</v>
      </c>
      <c r="AB230" s="352"/>
      <c r="AC230" s="352"/>
      <c r="AD230" s="352"/>
      <c r="AE230" s="368" t="s">
        <v>2137</v>
      </c>
      <c r="AF230" s="368"/>
      <c r="AG230" s="368"/>
    </row>
    <row r="231" spans="1:33" ht="12.75">
      <c r="A231" s="343" t="s">
        <v>2201</v>
      </c>
      <c r="B231" s="343"/>
      <c r="C231" s="343"/>
      <c r="D231" s="343"/>
      <c r="E231" s="343"/>
      <c r="F231" s="343"/>
      <c r="G231" s="343"/>
      <c r="H231" s="343"/>
      <c r="I231" s="343"/>
      <c r="J231" s="343"/>
      <c r="K231" s="343"/>
      <c r="L231" s="343"/>
      <c r="M231" s="343"/>
      <c r="N231" s="343"/>
      <c r="O231" s="343"/>
      <c r="P231" s="343"/>
      <c r="Q231" s="352"/>
      <c r="R231" s="352"/>
      <c r="S231" s="352"/>
      <c r="T231" s="352"/>
      <c r="U231" s="352"/>
      <c r="V231" s="352"/>
      <c r="W231" s="352"/>
      <c r="X231" s="352"/>
      <c r="Y231" s="352"/>
      <c r="Z231" s="352"/>
      <c r="AA231" s="352"/>
      <c r="AB231" s="352"/>
      <c r="AC231" s="352"/>
      <c r="AD231" s="352"/>
      <c r="AE231" s="352"/>
      <c r="AF231" s="352"/>
      <c r="AG231" s="352"/>
    </row>
    <row r="232" spans="1:33" ht="13.5" thickBot="1">
      <c r="A232" s="345" t="s">
        <v>2202</v>
      </c>
      <c r="B232" s="345"/>
      <c r="C232" s="345"/>
      <c r="D232" s="345"/>
      <c r="E232" s="345"/>
      <c r="F232" s="345"/>
      <c r="G232" s="345"/>
      <c r="H232" s="345"/>
      <c r="I232" s="345"/>
      <c r="J232" s="345"/>
      <c r="K232" s="345"/>
      <c r="L232" s="345"/>
      <c r="M232" s="345"/>
      <c r="N232" s="345"/>
      <c r="O232" s="345"/>
      <c r="P232" s="345"/>
      <c r="Q232" s="353"/>
      <c r="R232" s="353"/>
      <c r="S232" s="353"/>
      <c r="T232" s="353"/>
      <c r="U232" s="353"/>
      <c r="V232" s="353"/>
      <c r="W232" s="353"/>
      <c r="X232" s="353"/>
      <c r="Y232" s="353"/>
      <c r="Z232" s="353"/>
      <c r="AA232" s="353"/>
      <c r="AB232" s="353"/>
      <c r="AC232" s="353"/>
      <c r="AD232" s="353"/>
      <c r="AE232" s="353"/>
      <c r="AF232" s="353"/>
      <c r="AG232" s="353"/>
    </row>
    <row r="233" spans="1:33" ht="15.75" thickBot="1">
      <c r="A233" s="349" t="s">
        <v>2203</v>
      </c>
      <c r="B233" s="349"/>
      <c r="C233" s="349"/>
      <c r="D233" s="349"/>
      <c r="E233" s="349"/>
      <c r="F233" s="349"/>
      <c r="G233" s="349"/>
      <c r="H233" s="349"/>
      <c r="I233" s="349"/>
      <c r="J233" s="349"/>
      <c r="K233" s="349"/>
      <c r="L233" s="349"/>
      <c r="M233" s="349"/>
      <c r="N233" s="349"/>
      <c r="O233" s="349"/>
      <c r="P233" s="349"/>
      <c r="Q233" s="349"/>
      <c r="R233" s="349"/>
      <c r="S233" s="349"/>
      <c r="T233" s="349"/>
      <c r="U233" s="349"/>
      <c r="V233" s="349"/>
      <c r="W233" s="349"/>
      <c r="X233" s="349"/>
      <c r="Y233" s="349"/>
      <c r="Z233" s="349"/>
      <c r="AA233" s="349"/>
      <c r="AB233" s="349"/>
      <c r="AC233" s="349"/>
      <c r="AD233" s="349"/>
      <c r="AE233" s="349"/>
      <c r="AF233" s="349"/>
      <c r="AG233" s="349"/>
    </row>
    <row r="234" spans="1:33" ht="12.75">
      <c r="A234" s="350" t="s">
        <v>1574</v>
      </c>
      <c r="B234" s="350"/>
      <c r="C234" s="350"/>
      <c r="D234" s="350"/>
      <c r="E234" s="350"/>
      <c r="F234" s="350"/>
      <c r="G234" s="350"/>
      <c r="H234" s="350"/>
      <c r="I234" s="350"/>
      <c r="J234" s="350"/>
      <c r="K234" s="350"/>
      <c r="L234" s="350"/>
      <c r="M234" s="350"/>
      <c r="N234" s="350"/>
      <c r="O234" s="350"/>
      <c r="P234" s="350"/>
      <c r="Q234" s="350"/>
      <c r="R234" s="350"/>
      <c r="S234" s="350"/>
      <c r="T234" s="350"/>
      <c r="U234" s="350"/>
      <c r="V234" s="350"/>
      <c r="W234" s="350"/>
      <c r="X234" s="351" t="s">
        <v>1575</v>
      </c>
      <c r="Y234" s="351"/>
      <c r="Z234" s="351"/>
      <c r="AA234" s="351" t="s">
        <v>1576</v>
      </c>
      <c r="AB234" s="351"/>
      <c r="AC234" s="351"/>
      <c r="AD234" s="351"/>
      <c r="AE234" s="351" t="s">
        <v>1577</v>
      </c>
      <c r="AF234" s="351"/>
      <c r="AG234" s="351"/>
    </row>
    <row r="235" spans="1:33" ht="12.75">
      <c r="A235" s="343" t="s">
        <v>2204</v>
      </c>
      <c r="B235" s="343"/>
      <c r="C235" s="343"/>
      <c r="D235" s="343"/>
      <c r="E235" s="343"/>
      <c r="F235" s="343"/>
      <c r="G235" s="343"/>
      <c r="H235" s="343"/>
      <c r="I235" s="343"/>
      <c r="J235" s="343"/>
      <c r="K235" s="343"/>
      <c r="L235" s="343"/>
      <c r="M235" s="343"/>
      <c r="N235" s="343"/>
      <c r="O235" s="343"/>
      <c r="P235" s="343"/>
      <c r="Q235" s="343"/>
      <c r="R235" s="343"/>
      <c r="S235" s="343"/>
      <c r="T235" s="343"/>
      <c r="U235" s="343"/>
      <c r="V235" s="343"/>
      <c r="W235" s="343"/>
      <c r="X235" s="352"/>
      <c r="Y235" s="352"/>
      <c r="Z235" s="352"/>
      <c r="AA235" s="352"/>
      <c r="AB235" s="352"/>
      <c r="AC235" s="352"/>
      <c r="AD235" s="352"/>
      <c r="AE235" s="352" t="s">
        <v>2194</v>
      </c>
      <c r="AF235" s="352"/>
      <c r="AG235" s="352"/>
    </row>
    <row r="236" spans="1:33" ht="12.75">
      <c r="A236" s="343" t="s">
        <v>2205</v>
      </c>
      <c r="B236" s="343"/>
      <c r="C236" s="343"/>
      <c r="D236" s="343"/>
      <c r="E236" s="343"/>
      <c r="F236" s="343"/>
      <c r="G236" s="343"/>
      <c r="H236" s="343"/>
      <c r="I236" s="343"/>
      <c r="J236" s="343"/>
      <c r="K236" s="343"/>
      <c r="L236" s="343"/>
      <c r="M236" s="343"/>
      <c r="N236" s="343"/>
      <c r="O236" s="343"/>
      <c r="P236" s="343"/>
      <c r="Q236" s="343"/>
      <c r="R236" s="343"/>
      <c r="S236" s="343"/>
      <c r="T236" s="343"/>
      <c r="U236" s="343"/>
      <c r="V236" s="343"/>
      <c r="W236" s="343"/>
      <c r="X236" s="352"/>
      <c r="Y236" s="352"/>
      <c r="Z236" s="352"/>
      <c r="AA236" s="352"/>
      <c r="AB236" s="352"/>
      <c r="AC236" s="352"/>
      <c r="AD236" s="352"/>
      <c r="AE236" s="352" t="s">
        <v>2206</v>
      </c>
      <c r="AF236" s="352"/>
      <c r="AG236" s="352"/>
    </row>
    <row r="237" spans="1:33" ht="12.75">
      <c r="A237" s="343" t="s">
        <v>2207</v>
      </c>
      <c r="B237" s="343"/>
      <c r="C237" s="343"/>
      <c r="D237" s="343"/>
      <c r="E237" s="343"/>
      <c r="F237" s="343"/>
      <c r="G237" s="343"/>
      <c r="H237" s="343"/>
      <c r="I237" s="343"/>
      <c r="J237" s="343"/>
      <c r="K237" s="343"/>
      <c r="L237" s="343"/>
      <c r="M237" s="343"/>
      <c r="N237" s="343"/>
      <c r="O237" s="343"/>
      <c r="P237" s="343"/>
      <c r="Q237" s="343"/>
      <c r="R237" s="343"/>
      <c r="S237" s="343"/>
      <c r="T237" s="343"/>
      <c r="U237" s="343"/>
      <c r="V237" s="343"/>
      <c r="W237" s="343"/>
      <c r="X237" s="352"/>
      <c r="Y237" s="352"/>
      <c r="Z237" s="352"/>
      <c r="AA237" s="352"/>
      <c r="AB237" s="352"/>
      <c r="AC237" s="352"/>
      <c r="AD237" s="352"/>
      <c r="AE237" s="352" t="s">
        <v>2208</v>
      </c>
      <c r="AF237" s="352"/>
      <c r="AG237" s="352"/>
    </row>
    <row r="238" spans="1:33" ht="12.75">
      <c r="A238" s="343" t="s">
        <v>2185</v>
      </c>
      <c r="B238" s="343"/>
      <c r="C238" s="343"/>
      <c r="D238" s="343"/>
      <c r="E238" s="343"/>
      <c r="F238" s="343"/>
      <c r="G238" s="343"/>
      <c r="H238" s="343"/>
      <c r="I238" s="343"/>
      <c r="J238" s="343"/>
      <c r="K238" s="343"/>
      <c r="L238" s="343"/>
      <c r="M238" s="343"/>
      <c r="N238" s="343"/>
      <c r="O238" s="343"/>
      <c r="P238" s="343"/>
      <c r="Q238" s="343"/>
      <c r="R238" s="343"/>
      <c r="S238" s="343"/>
      <c r="T238" s="343"/>
      <c r="U238" s="343"/>
      <c r="V238" s="343"/>
      <c r="W238" s="343"/>
      <c r="X238" s="352"/>
      <c r="Y238" s="352"/>
      <c r="Z238" s="352"/>
      <c r="AA238" s="352"/>
      <c r="AB238" s="352"/>
      <c r="AC238" s="352"/>
      <c r="AD238" s="352"/>
      <c r="AE238" s="352" t="s">
        <v>2195</v>
      </c>
      <c r="AF238" s="352"/>
      <c r="AG238" s="352"/>
    </row>
    <row r="239" spans="1:33" ht="12.75">
      <c r="A239" s="343" t="s">
        <v>2209</v>
      </c>
      <c r="B239" s="343"/>
      <c r="C239" s="343"/>
      <c r="D239" s="343"/>
      <c r="E239" s="343"/>
      <c r="F239" s="343"/>
      <c r="G239" s="343"/>
      <c r="H239" s="343"/>
      <c r="I239" s="343"/>
      <c r="J239" s="343"/>
      <c r="K239" s="343"/>
      <c r="L239" s="343"/>
      <c r="M239" s="343"/>
      <c r="N239" s="343"/>
      <c r="O239" s="343"/>
      <c r="P239" s="343"/>
      <c r="Q239" s="343"/>
      <c r="R239" s="343"/>
      <c r="S239" s="343"/>
      <c r="T239" s="343"/>
      <c r="U239" s="343"/>
      <c r="V239" s="343"/>
      <c r="W239" s="343"/>
      <c r="X239" s="352"/>
      <c r="Y239" s="352"/>
      <c r="Z239" s="352"/>
      <c r="AA239" s="352"/>
      <c r="AB239" s="352"/>
      <c r="AC239" s="352"/>
      <c r="AD239" s="352"/>
      <c r="AE239" s="352" t="s">
        <v>2196</v>
      </c>
      <c r="AF239" s="352"/>
      <c r="AG239" s="352"/>
    </row>
    <row r="240" spans="1:33" ht="12.75">
      <c r="A240" s="343" t="s">
        <v>2210</v>
      </c>
      <c r="B240" s="343"/>
      <c r="C240" s="343"/>
      <c r="D240" s="343"/>
      <c r="E240" s="343"/>
      <c r="F240" s="343"/>
      <c r="G240" s="343"/>
      <c r="H240" s="343"/>
      <c r="I240" s="343"/>
      <c r="J240" s="343"/>
      <c r="K240" s="343"/>
      <c r="L240" s="343"/>
      <c r="M240" s="343"/>
      <c r="N240" s="343"/>
      <c r="O240" s="343"/>
      <c r="P240" s="343"/>
      <c r="Q240" s="343"/>
      <c r="R240" s="343"/>
      <c r="S240" s="343"/>
      <c r="T240" s="343"/>
      <c r="U240" s="343"/>
      <c r="V240" s="343"/>
      <c r="W240" s="343"/>
      <c r="X240" s="352"/>
      <c r="Y240" s="352"/>
      <c r="Z240" s="352"/>
      <c r="AA240" s="352"/>
      <c r="AB240" s="352"/>
      <c r="AC240" s="352"/>
      <c r="AD240" s="352"/>
      <c r="AE240" s="368" t="s">
        <v>2197</v>
      </c>
      <c r="AF240" s="368"/>
      <c r="AG240" s="368"/>
    </row>
    <row r="241" spans="1:33" ht="13.5" thickBot="1">
      <c r="A241" s="345" t="s">
        <v>2211</v>
      </c>
      <c r="B241" s="345"/>
      <c r="C241" s="345"/>
      <c r="D241" s="345"/>
      <c r="E241" s="345"/>
      <c r="F241" s="345"/>
      <c r="G241" s="345"/>
      <c r="H241" s="345"/>
      <c r="I241" s="345"/>
      <c r="J241" s="345"/>
      <c r="K241" s="345"/>
      <c r="L241" s="345"/>
      <c r="M241" s="345"/>
      <c r="N241" s="345"/>
      <c r="O241" s="345"/>
      <c r="P241" s="345"/>
      <c r="Q241" s="345"/>
      <c r="R241" s="345"/>
      <c r="S241" s="345"/>
      <c r="T241" s="345"/>
      <c r="U241" s="345"/>
      <c r="V241" s="345"/>
      <c r="W241" s="345"/>
      <c r="X241" s="353"/>
      <c r="Y241" s="353"/>
      <c r="Z241" s="353"/>
      <c r="AA241" s="353"/>
      <c r="AB241" s="353"/>
      <c r="AC241" s="353"/>
      <c r="AD241" s="353"/>
      <c r="AE241" s="353"/>
      <c r="AF241" s="353"/>
      <c r="AG241" s="353"/>
    </row>
    <row r="242" spans="1:33" ht="15.75" thickBot="1">
      <c r="A242" s="349" t="s">
        <v>2212</v>
      </c>
      <c r="B242" s="349"/>
      <c r="C242" s="349"/>
      <c r="D242" s="349"/>
      <c r="E242" s="349"/>
      <c r="F242" s="349"/>
      <c r="G242" s="349"/>
      <c r="H242" s="349"/>
      <c r="I242" s="349"/>
      <c r="J242" s="349"/>
      <c r="K242" s="349"/>
      <c r="L242" s="349"/>
      <c r="M242" s="349"/>
      <c r="N242" s="349"/>
      <c r="O242" s="349"/>
      <c r="P242" s="349"/>
      <c r="Q242" s="349"/>
      <c r="R242" s="349"/>
      <c r="S242" s="349"/>
      <c r="T242" s="349"/>
      <c r="U242" s="349"/>
      <c r="V242" s="349"/>
      <c r="W242" s="349"/>
      <c r="X242" s="349"/>
      <c r="Y242" s="349"/>
      <c r="Z242" s="349"/>
      <c r="AA242" s="349"/>
      <c r="AB242" s="349"/>
      <c r="AC242" s="349"/>
      <c r="AD242" s="349"/>
      <c r="AE242" s="349"/>
      <c r="AF242" s="349"/>
      <c r="AG242" s="349"/>
    </row>
    <row r="243" spans="1:33" ht="13.5" thickBot="1">
      <c r="A243" s="350" t="s">
        <v>2213</v>
      </c>
      <c r="B243" s="350"/>
      <c r="C243" s="350"/>
      <c r="D243" s="350"/>
      <c r="E243" s="350"/>
      <c r="F243" s="350"/>
      <c r="G243" s="350"/>
      <c r="H243" s="350"/>
      <c r="I243" s="350"/>
      <c r="J243" s="350"/>
      <c r="K243" s="350"/>
      <c r="L243" s="350"/>
      <c r="M243" s="350"/>
      <c r="N243" s="350"/>
      <c r="O243" s="350"/>
      <c r="P243" s="350"/>
      <c r="Q243" s="350"/>
      <c r="R243" s="351" t="s">
        <v>2214</v>
      </c>
      <c r="S243" s="351"/>
      <c r="T243" s="351"/>
      <c r="U243" s="351"/>
      <c r="V243" s="351"/>
      <c r="W243" s="351"/>
      <c r="X243" s="351"/>
      <c r="Y243" s="351"/>
      <c r="Z243" s="351"/>
      <c r="AA243" s="351" t="s">
        <v>2185</v>
      </c>
      <c r="AB243" s="351"/>
      <c r="AC243" s="351"/>
      <c r="AD243" s="351"/>
      <c r="AE243" s="351" t="s">
        <v>2215</v>
      </c>
      <c r="AF243" s="351"/>
      <c r="AG243" s="351"/>
    </row>
    <row r="244" spans="1:33" ht="12.75">
      <c r="A244" s="366" t="s">
        <v>2216</v>
      </c>
      <c r="B244" s="366"/>
      <c r="C244" s="366"/>
      <c r="D244" s="366"/>
      <c r="E244" s="366"/>
      <c r="F244" s="366"/>
      <c r="G244" s="366"/>
      <c r="H244" s="366"/>
      <c r="I244" s="366"/>
      <c r="J244" s="366"/>
      <c r="K244" s="366"/>
      <c r="L244" s="366"/>
      <c r="M244" s="366"/>
      <c r="N244" s="366"/>
      <c r="O244" s="366"/>
      <c r="P244" s="366"/>
      <c r="Q244" s="366"/>
      <c r="R244" s="366"/>
      <c r="S244" s="366"/>
      <c r="T244" s="366"/>
      <c r="U244" s="366"/>
      <c r="V244" s="366"/>
      <c r="W244" s="366"/>
      <c r="X244" s="366"/>
      <c r="Y244" s="366"/>
      <c r="Z244" s="366"/>
      <c r="AA244" s="366"/>
      <c r="AB244" s="366"/>
      <c r="AC244" s="366"/>
      <c r="AD244" s="366"/>
      <c r="AE244" s="366"/>
      <c r="AF244" s="366"/>
      <c r="AG244" s="366"/>
    </row>
    <row r="245" spans="1:33" ht="12.75">
      <c r="A245" s="367"/>
      <c r="B245" s="343" t="s">
        <v>2217</v>
      </c>
      <c r="C245" s="343"/>
      <c r="D245" s="343"/>
      <c r="E245" s="343"/>
      <c r="F245" s="343"/>
      <c r="G245" s="343"/>
      <c r="H245" s="343"/>
      <c r="I245" s="343"/>
      <c r="J245" s="343"/>
      <c r="K245" s="343"/>
      <c r="L245" s="343"/>
      <c r="M245" s="343"/>
      <c r="N245" s="343"/>
      <c r="O245" s="343"/>
      <c r="P245" s="343"/>
      <c r="Q245" s="343"/>
      <c r="R245" s="343"/>
      <c r="S245" s="343"/>
      <c r="T245" s="343"/>
      <c r="U245" s="343"/>
      <c r="V245" s="343"/>
      <c r="W245" s="343"/>
      <c r="X245" s="352"/>
      <c r="Y245" s="352"/>
      <c r="Z245" s="352"/>
      <c r="AA245" s="352"/>
      <c r="AB245" s="352"/>
      <c r="AC245" s="352"/>
      <c r="AD245" s="352"/>
      <c r="AE245" s="352"/>
      <c r="AF245" s="352"/>
      <c r="AG245" s="352"/>
    </row>
    <row r="246" spans="1:33" ht="12.75">
      <c r="A246" s="367"/>
      <c r="B246" s="343" t="s">
        <v>2218</v>
      </c>
      <c r="C246" s="343"/>
      <c r="D246" s="343"/>
      <c r="E246" s="343"/>
      <c r="F246" s="343"/>
      <c r="G246" s="343"/>
      <c r="H246" s="343"/>
      <c r="I246" s="343"/>
      <c r="J246" s="343"/>
      <c r="K246" s="343"/>
      <c r="L246" s="343"/>
      <c r="M246" s="343"/>
      <c r="N246" s="343"/>
      <c r="O246" s="343"/>
      <c r="P246" s="343"/>
      <c r="Q246" s="343"/>
      <c r="R246" s="343"/>
      <c r="S246" s="343"/>
      <c r="T246" s="343"/>
      <c r="U246" s="343"/>
      <c r="V246" s="343"/>
      <c r="W246" s="343"/>
      <c r="X246" s="352" t="s">
        <v>2219</v>
      </c>
      <c r="Y246" s="352"/>
      <c r="Z246" s="352"/>
      <c r="AA246" s="352" t="s">
        <v>2072</v>
      </c>
      <c r="AB246" s="352"/>
      <c r="AC246" s="352"/>
      <c r="AD246" s="352"/>
      <c r="AE246" s="352" t="s">
        <v>2220</v>
      </c>
      <c r="AF246" s="352"/>
      <c r="AG246" s="352"/>
    </row>
    <row r="247" spans="1:33" ht="12.75">
      <c r="A247" s="367"/>
      <c r="B247" s="343" t="s">
        <v>2221</v>
      </c>
      <c r="C247" s="343"/>
      <c r="D247" s="343"/>
      <c r="E247" s="343"/>
      <c r="F247" s="343"/>
      <c r="G247" s="343"/>
      <c r="H247" s="343"/>
      <c r="I247" s="343"/>
      <c r="J247" s="343"/>
      <c r="K247" s="343"/>
      <c r="L247" s="343"/>
      <c r="M247" s="343"/>
      <c r="N247" s="343"/>
      <c r="O247" s="343"/>
      <c r="P247" s="343"/>
      <c r="Q247" s="343"/>
      <c r="R247" s="343"/>
      <c r="S247" s="343"/>
      <c r="T247" s="343"/>
      <c r="U247" s="343"/>
      <c r="V247" s="343"/>
      <c r="W247" s="343"/>
      <c r="X247" s="352"/>
      <c r="Y247" s="352"/>
      <c r="Z247" s="352"/>
      <c r="AA247" s="352"/>
      <c r="AB247" s="352"/>
      <c r="AC247" s="352"/>
      <c r="AD247" s="352"/>
      <c r="AE247" s="352"/>
      <c r="AF247" s="352"/>
      <c r="AG247" s="352"/>
    </row>
    <row r="248" spans="1:33" ht="12.75">
      <c r="A248" s="367"/>
      <c r="B248" s="343" t="s">
        <v>2222</v>
      </c>
      <c r="C248" s="343"/>
      <c r="D248" s="343"/>
      <c r="E248" s="343"/>
      <c r="F248" s="343"/>
      <c r="G248" s="343"/>
      <c r="H248" s="343"/>
      <c r="I248" s="343"/>
      <c r="J248" s="343"/>
      <c r="K248" s="343"/>
      <c r="L248" s="343"/>
      <c r="M248" s="343"/>
      <c r="N248" s="343"/>
      <c r="O248" s="343"/>
      <c r="P248" s="343"/>
      <c r="Q248" s="343"/>
      <c r="R248" s="343"/>
      <c r="S248" s="343"/>
      <c r="T248" s="343"/>
      <c r="U248" s="343"/>
      <c r="V248" s="343"/>
      <c r="W248" s="343"/>
      <c r="X248" s="352" t="s">
        <v>2223</v>
      </c>
      <c r="Y248" s="352"/>
      <c r="Z248" s="352"/>
      <c r="AA248" s="352" t="s">
        <v>1949</v>
      </c>
      <c r="AB248" s="352"/>
      <c r="AC248" s="352"/>
      <c r="AD248" s="352"/>
      <c r="AE248" s="352" t="s">
        <v>2224</v>
      </c>
      <c r="AF248" s="352"/>
      <c r="AG248" s="352"/>
    </row>
    <row r="249" spans="1:33" ht="13.5" thickBot="1">
      <c r="A249" s="367"/>
      <c r="B249" s="345" t="s">
        <v>2225</v>
      </c>
      <c r="C249" s="345"/>
      <c r="D249" s="345"/>
      <c r="E249" s="345"/>
      <c r="F249" s="345"/>
      <c r="G249" s="345"/>
      <c r="H249" s="345"/>
      <c r="I249" s="345"/>
      <c r="J249" s="345"/>
      <c r="K249" s="345"/>
      <c r="L249" s="345"/>
      <c r="M249" s="345"/>
      <c r="N249" s="345"/>
      <c r="O249" s="345"/>
      <c r="P249" s="345"/>
      <c r="Q249" s="345"/>
      <c r="R249" s="345"/>
      <c r="S249" s="345"/>
      <c r="T249" s="345"/>
      <c r="U249" s="345"/>
      <c r="V249" s="345"/>
      <c r="W249" s="345"/>
      <c r="X249" s="353"/>
      <c r="Y249" s="353"/>
      <c r="Z249" s="353"/>
      <c r="AA249" s="353"/>
      <c r="AB249" s="353"/>
      <c r="AC249" s="353"/>
      <c r="AD249" s="353"/>
      <c r="AE249" s="353"/>
      <c r="AF249" s="353"/>
      <c r="AG249" s="353"/>
    </row>
    <row r="250" spans="1:33" ht="12.75">
      <c r="A250" s="366" t="s">
        <v>2226</v>
      </c>
      <c r="B250" s="366"/>
      <c r="C250" s="366"/>
      <c r="D250" s="366"/>
      <c r="E250" s="366"/>
      <c r="F250" s="366"/>
      <c r="G250" s="366"/>
      <c r="H250" s="366"/>
      <c r="I250" s="366"/>
      <c r="J250" s="366"/>
      <c r="K250" s="366"/>
      <c r="L250" s="366"/>
      <c r="M250" s="366"/>
      <c r="N250" s="366"/>
      <c r="O250" s="366"/>
      <c r="P250" s="366"/>
      <c r="Q250" s="366"/>
      <c r="R250" s="366"/>
      <c r="S250" s="366"/>
      <c r="T250" s="366"/>
      <c r="U250" s="366"/>
      <c r="V250" s="366"/>
      <c r="W250" s="366"/>
      <c r="X250" s="366"/>
      <c r="Y250" s="366"/>
      <c r="Z250" s="366"/>
      <c r="AA250" s="366"/>
      <c r="AB250" s="366"/>
      <c r="AC250" s="366"/>
      <c r="AD250" s="366"/>
      <c r="AE250" s="366"/>
      <c r="AF250" s="366"/>
      <c r="AG250" s="366"/>
    </row>
    <row r="251" spans="1:33" ht="12.75">
      <c r="A251" s="367"/>
      <c r="B251" s="343" t="s">
        <v>2227</v>
      </c>
      <c r="C251" s="343"/>
      <c r="D251" s="343"/>
      <c r="E251" s="343"/>
      <c r="F251" s="343"/>
      <c r="G251" s="343"/>
      <c r="H251" s="343"/>
      <c r="I251" s="343"/>
      <c r="J251" s="343"/>
      <c r="K251" s="343"/>
      <c r="L251" s="343"/>
      <c r="M251" s="343"/>
      <c r="N251" s="343"/>
      <c r="O251" s="343"/>
      <c r="P251" s="343"/>
      <c r="Q251" s="343"/>
      <c r="R251" s="343"/>
      <c r="S251" s="343"/>
      <c r="T251" s="343"/>
      <c r="U251" s="343"/>
      <c r="V251" s="343"/>
      <c r="W251" s="343"/>
      <c r="X251" s="352" t="s">
        <v>2228</v>
      </c>
      <c r="Y251" s="352"/>
      <c r="Z251" s="352"/>
      <c r="AA251" s="352" t="s">
        <v>2229</v>
      </c>
      <c r="AB251" s="352"/>
      <c r="AC251" s="352"/>
      <c r="AD251" s="352"/>
      <c r="AE251" s="352" t="s">
        <v>2230</v>
      </c>
      <c r="AF251" s="352"/>
      <c r="AG251" s="352"/>
    </row>
    <row r="252" spans="1:33" ht="12.75">
      <c r="A252" s="367"/>
      <c r="B252" s="343" t="s">
        <v>2231</v>
      </c>
      <c r="C252" s="343"/>
      <c r="D252" s="343"/>
      <c r="E252" s="343"/>
      <c r="F252" s="343"/>
      <c r="G252" s="343"/>
      <c r="H252" s="343"/>
      <c r="I252" s="343"/>
      <c r="J252" s="343"/>
      <c r="K252" s="343"/>
      <c r="L252" s="343"/>
      <c r="M252" s="343"/>
      <c r="N252" s="343"/>
      <c r="O252" s="343"/>
      <c r="P252" s="343"/>
      <c r="Q252" s="343"/>
      <c r="R252" s="343"/>
      <c r="S252" s="343"/>
      <c r="T252" s="343"/>
      <c r="U252" s="343"/>
      <c r="V252" s="343"/>
      <c r="W252" s="343"/>
      <c r="X252" s="352" t="s">
        <v>2232</v>
      </c>
      <c r="Y252" s="352"/>
      <c r="Z252" s="352"/>
      <c r="AA252" s="352" t="s">
        <v>2233</v>
      </c>
      <c r="AB252" s="352"/>
      <c r="AC252" s="352"/>
      <c r="AD252" s="352"/>
      <c r="AE252" s="352" t="s">
        <v>2234</v>
      </c>
      <c r="AF252" s="352"/>
      <c r="AG252" s="352"/>
    </row>
    <row r="253" spans="1:33" ht="12.75">
      <c r="A253" s="367"/>
      <c r="B253" s="343" t="s">
        <v>2235</v>
      </c>
      <c r="C253" s="343"/>
      <c r="D253" s="343"/>
      <c r="E253" s="343"/>
      <c r="F253" s="343"/>
      <c r="G253" s="343"/>
      <c r="H253" s="343"/>
      <c r="I253" s="343"/>
      <c r="J253" s="343"/>
      <c r="K253" s="343"/>
      <c r="L253" s="343"/>
      <c r="M253" s="343"/>
      <c r="N253" s="343"/>
      <c r="O253" s="343"/>
      <c r="P253" s="343"/>
      <c r="Q253" s="343"/>
      <c r="R253" s="343"/>
      <c r="S253" s="343"/>
      <c r="T253" s="343"/>
      <c r="U253" s="343"/>
      <c r="V253" s="343"/>
      <c r="W253" s="343"/>
      <c r="X253" s="352"/>
      <c r="Y253" s="352"/>
      <c r="Z253" s="352"/>
      <c r="AA253" s="352"/>
      <c r="AB253" s="352"/>
      <c r="AC253" s="352"/>
      <c r="AD253" s="352"/>
      <c r="AE253" s="352"/>
      <c r="AF253" s="352"/>
      <c r="AG253" s="352"/>
    </row>
    <row r="254" spans="1:33" ht="12.75">
      <c r="A254" s="367"/>
      <c r="B254" s="343" t="s">
        <v>2236</v>
      </c>
      <c r="C254" s="343"/>
      <c r="D254" s="343"/>
      <c r="E254" s="343"/>
      <c r="F254" s="343"/>
      <c r="G254" s="343"/>
      <c r="H254" s="343"/>
      <c r="I254" s="343"/>
      <c r="J254" s="343"/>
      <c r="K254" s="343"/>
      <c r="L254" s="343"/>
      <c r="M254" s="343"/>
      <c r="N254" s="343"/>
      <c r="O254" s="343"/>
      <c r="P254" s="343"/>
      <c r="Q254" s="343"/>
      <c r="R254" s="343"/>
      <c r="S254" s="343"/>
      <c r="T254" s="343"/>
      <c r="U254" s="343"/>
      <c r="V254" s="343"/>
      <c r="W254" s="343"/>
      <c r="X254" s="352"/>
      <c r="Y254" s="352"/>
      <c r="Z254" s="352"/>
      <c r="AA254" s="352"/>
      <c r="AB254" s="352"/>
      <c r="AC254" s="352"/>
      <c r="AD254" s="352"/>
      <c r="AE254" s="352"/>
      <c r="AF254" s="352"/>
      <c r="AG254" s="352"/>
    </row>
    <row r="255" spans="1:33" ht="12.75">
      <c r="A255" s="367"/>
      <c r="B255" s="343" t="s">
        <v>2237</v>
      </c>
      <c r="C255" s="343"/>
      <c r="D255" s="343"/>
      <c r="E255" s="343"/>
      <c r="F255" s="343"/>
      <c r="G255" s="343"/>
      <c r="H255" s="343"/>
      <c r="I255" s="343"/>
      <c r="J255" s="343"/>
      <c r="K255" s="343"/>
      <c r="L255" s="343"/>
      <c r="M255" s="343"/>
      <c r="N255" s="343"/>
      <c r="O255" s="343"/>
      <c r="P255" s="343"/>
      <c r="Q255" s="343"/>
      <c r="R255" s="343"/>
      <c r="S255" s="343"/>
      <c r="T255" s="343"/>
      <c r="U255" s="343"/>
      <c r="V255" s="343"/>
      <c r="W255" s="343"/>
      <c r="X255" s="352" t="s">
        <v>2238</v>
      </c>
      <c r="Y255" s="352"/>
      <c r="Z255" s="352"/>
      <c r="AA255" s="352" t="s">
        <v>2239</v>
      </c>
      <c r="AB255" s="352"/>
      <c r="AC255" s="352"/>
      <c r="AD255" s="352"/>
      <c r="AE255" s="352" t="s">
        <v>2240</v>
      </c>
      <c r="AF255" s="352"/>
      <c r="AG255" s="352"/>
    </row>
    <row r="256" spans="1:33" ht="13.5" thickBot="1">
      <c r="A256" s="367"/>
      <c r="B256" s="345" t="s">
        <v>2241</v>
      </c>
      <c r="C256" s="345"/>
      <c r="D256" s="345"/>
      <c r="E256" s="345"/>
      <c r="F256" s="345"/>
      <c r="G256" s="345"/>
      <c r="H256" s="345"/>
      <c r="I256" s="345"/>
      <c r="J256" s="345"/>
      <c r="K256" s="345"/>
      <c r="L256" s="345"/>
      <c r="M256" s="345"/>
      <c r="N256" s="345"/>
      <c r="O256" s="345"/>
      <c r="P256" s="345"/>
      <c r="Q256" s="345"/>
      <c r="R256" s="345"/>
      <c r="S256" s="345"/>
      <c r="T256" s="345"/>
      <c r="U256" s="345"/>
      <c r="V256" s="345"/>
      <c r="W256" s="345"/>
      <c r="X256" s="353" t="s">
        <v>1947</v>
      </c>
      <c r="Y256" s="353"/>
      <c r="Z256" s="353"/>
      <c r="AA256" s="353"/>
      <c r="AB256" s="353"/>
      <c r="AC256" s="353"/>
      <c r="AD256" s="353"/>
      <c r="AE256" s="353" t="s">
        <v>1947</v>
      </c>
      <c r="AF256" s="353"/>
      <c r="AG256" s="353"/>
    </row>
    <row r="257" spans="1:33" ht="12.75">
      <c r="A257" s="366" t="s">
        <v>2242</v>
      </c>
      <c r="B257" s="366"/>
      <c r="C257" s="366"/>
      <c r="D257" s="366"/>
      <c r="E257" s="366"/>
      <c r="F257" s="366"/>
      <c r="G257" s="366"/>
      <c r="H257" s="366"/>
      <c r="I257" s="366"/>
      <c r="J257" s="366"/>
      <c r="K257" s="366"/>
      <c r="L257" s="366"/>
      <c r="M257" s="366"/>
      <c r="N257" s="366"/>
      <c r="O257" s="366"/>
      <c r="P257" s="366"/>
      <c r="Q257" s="366"/>
      <c r="R257" s="366"/>
      <c r="S257" s="366"/>
      <c r="T257" s="366"/>
      <c r="U257" s="366"/>
      <c r="V257" s="366"/>
      <c r="W257" s="366"/>
      <c r="X257" s="366"/>
      <c r="Y257" s="366"/>
      <c r="Z257" s="366"/>
      <c r="AA257" s="366"/>
      <c r="AB257" s="366"/>
      <c r="AC257" s="366"/>
      <c r="AD257" s="366"/>
      <c r="AE257" s="366"/>
      <c r="AF257" s="366"/>
      <c r="AG257" s="366"/>
    </row>
    <row r="258" spans="1:33" ht="12.75">
      <c r="A258" s="367"/>
      <c r="B258" s="343" t="s">
        <v>2243</v>
      </c>
      <c r="C258" s="343"/>
      <c r="D258" s="343"/>
      <c r="E258" s="343"/>
      <c r="F258" s="343"/>
      <c r="G258" s="343"/>
      <c r="H258" s="343"/>
      <c r="I258" s="343"/>
      <c r="J258" s="343"/>
      <c r="K258" s="343"/>
      <c r="L258" s="343"/>
      <c r="M258" s="343"/>
      <c r="N258" s="343"/>
      <c r="O258" s="343"/>
      <c r="P258" s="343"/>
      <c r="Q258" s="343"/>
      <c r="R258" s="343"/>
      <c r="S258" s="343"/>
      <c r="T258" s="343"/>
      <c r="U258" s="343"/>
      <c r="V258" s="343"/>
      <c r="W258" s="343"/>
      <c r="X258" s="352" t="s">
        <v>2244</v>
      </c>
      <c r="Y258" s="352"/>
      <c r="Z258" s="352"/>
      <c r="AA258" s="352" t="s">
        <v>2245</v>
      </c>
      <c r="AB258" s="352"/>
      <c r="AC258" s="352"/>
      <c r="AD258" s="352"/>
      <c r="AE258" s="352" t="s">
        <v>2246</v>
      </c>
      <c r="AF258" s="352"/>
      <c r="AG258" s="352"/>
    </row>
    <row r="259" spans="1:33" ht="13.5" thickBot="1">
      <c r="A259" s="367"/>
      <c r="B259" s="345" t="s">
        <v>2247</v>
      </c>
      <c r="C259" s="345"/>
      <c r="D259" s="345"/>
      <c r="E259" s="345"/>
      <c r="F259" s="345"/>
      <c r="G259" s="345"/>
      <c r="H259" s="345"/>
      <c r="I259" s="345"/>
      <c r="J259" s="345"/>
      <c r="K259" s="345"/>
      <c r="L259" s="345"/>
      <c r="M259" s="345"/>
      <c r="N259" s="345"/>
      <c r="O259" s="345"/>
      <c r="P259" s="345"/>
      <c r="Q259" s="345"/>
      <c r="R259" s="345"/>
      <c r="S259" s="345"/>
      <c r="T259" s="345"/>
      <c r="U259" s="345"/>
      <c r="V259" s="345"/>
      <c r="W259" s="345"/>
      <c r="X259" s="353"/>
      <c r="Y259" s="353"/>
      <c r="Z259" s="353"/>
      <c r="AA259" s="353"/>
      <c r="AB259" s="353"/>
      <c r="AC259" s="353"/>
      <c r="AD259" s="353"/>
      <c r="AE259" s="353"/>
      <c r="AF259" s="353"/>
      <c r="AG259" s="353"/>
    </row>
    <row r="260" spans="1:33" ht="12.75">
      <c r="A260" s="366" t="s">
        <v>2248</v>
      </c>
      <c r="B260" s="366"/>
      <c r="C260" s="366"/>
      <c r="D260" s="366"/>
      <c r="E260" s="366"/>
      <c r="F260" s="366"/>
      <c r="G260" s="366"/>
      <c r="H260" s="366"/>
      <c r="I260" s="366"/>
      <c r="J260" s="366"/>
      <c r="K260" s="366"/>
      <c r="L260" s="366"/>
      <c r="M260" s="366"/>
      <c r="N260" s="366"/>
      <c r="O260" s="366"/>
      <c r="P260" s="366"/>
      <c r="Q260" s="366"/>
      <c r="R260" s="366"/>
      <c r="S260" s="366"/>
      <c r="T260" s="366"/>
      <c r="U260" s="366"/>
      <c r="V260" s="366"/>
      <c r="W260" s="366"/>
      <c r="X260" s="366"/>
      <c r="Y260" s="366"/>
      <c r="Z260" s="366"/>
      <c r="AA260" s="366"/>
      <c r="AB260" s="366"/>
      <c r="AC260" s="366"/>
      <c r="AD260" s="366"/>
      <c r="AE260" s="366"/>
      <c r="AF260" s="366"/>
      <c r="AG260" s="366"/>
    </row>
    <row r="261" spans="1:33" ht="12.75">
      <c r="A261" s="367"/>
      <c r="B261" s="343" t="s">
        <v>2249</v>
      </c>
      <c r="C261" s="343"/>
      <c r="D261" s="343"/>
      <c r="E261" s="343"/>
      <c r="F261" s="343"/>
      <c r="G261" s="343"/>
      <c r="H261" s="343"/>
      <c r="I261" s="343"/>
      <c r="J261" s="343"/>
      <c r="K261" s="343"/>
      <c r="L261" s="343"/>
      <c r="M261" s="343"/>
      <c r="N261" s="343"/>
      <c r="O261" s="343"/>
      <c r="P261" s="343"/>
      <c r="Q261" s="343"/>
      <c r="R261" s="343"/>
      <c r="S261" s="343"/>
      <c r="T261" s="343"/>
      <c r="U261" s="343"/>
      <c r="V261" s="343"/>
      <c r="W261" s="343"/>
      <c r="X261" s="352"/>
      <c r="Y261" s="352"/>
      <c r="Z261" s="352"/>
      <c r="AA261" s="352"/>
      <c r="AB261" s="352"/>
      <c r="AC261" s="352"/>
      <c r="AD261" s="352"/>
      <c r="AE261" s="352"/>
      <c r="AF261" s="352"/>
      <c r="AG261" s="352"/>
    </row>
    <row r="262" spans="1:33" ht="12.75">
      <c r="A262" s="367"/>
      <c r="B262" s="343" t="s">
        <v>2250</v>
      </c>
      <c r="C262" s="343"/>
      <c r="D262" s="343"/>
      <c r="E262" s="343"/>
      <c r="F262" s="343"/>
      <c r="G262" s="343"/>
      <c r="H262" s="343"/>
      <c r="I262" s="343"/>
      <c r="J262" s="343"/>
      <c r="K262" s="343"/>
      <c r="L262" s="343"/>
      <c r="M262" s="343"/>
      <c r="N262" s="343"/>
      <c r="O262" s="343"/>
      <c r="P262" s="343"/>
      <c r="Q262" s="343"/>
      <c r="R262" s="343"/>
      <c r="S262" s="343"/>
      <c r="T262" s="343"/>
      <c r="U262" s="343"/>
      <c r="V262" s="343"/>
      <c r="W262" s="343"/>
      <c r="X262" s="352" t="s">
        <v>2251</v>
      </c>
      <c r="Y262" s="352"/>
      <c r="Z262" s="352"/>
      <c r="AA262" s="352" t="s">
        <v>2252</v>
      </c>
      <c r="AB262" s="352"/>
      <c r="AC262" s="352"/>
      <c r="AD262" s="352"/>
      <c r="AE262" s="352" t="s">
        <v>2253</v>
      </c>
      <c r="AF262" s="352"/>
      <c r="AG262" s="352"/>
    </row>
    <row r="263" spans="1:33" ht="13.5" thickBot="1">
      <c r="A263" s="367"/>
      <c r="B263" s="345" t="s">
        <v>2254</v>
      </c>
      <c r="C263" s="345"/>
      <c r="D263" s="345"/>
      <c r="E263" s="345"/>
      <c r="F263" s="345"/>
      <c r="G263" s="345"/>
      <c r="H263" s="345"/>
      <c r="I263" s="345"/>
      <c r="J263" s="345"/>
      <c r="K263" s="345"/>
      <c r="L263" s="345"/>
      <c r="M263" s="345"/>
      <c r="N263" s="345"/>
      <c r="O263" s="345"/>
      <c r="P263" s="345"/>
      <c r="Q263" s="345"/>
      <c r="R263" s="345"/>
      <c r="S263" s="345"/>
      <c r="T263" s="345"/>
      <c r="U263" s="345"/>
      <c r="V263" s="345"/>
      <c r="W263" s="345"/>
      <c r="X263" s="353"/>
      <c r="Y263" s="353"/>
      <c r="Z263" s="353"/>
      <c r="AA263" s="353"/>
      <c r="AB263" s="353"/>
      <c r="AC263" s="353"/>
      <c r="AD263" s="353"/>
      <c r="AE263" s="353"/>
      <c r="AF263" s="353"/>
      <c r="AG263" s="353"/>
    </row>
    <row r="264" spans="1:33" ht="13.5" thickBot="1">
      <c r="A264" s="350" t="s">
        <v>2213</v>
      </c>
      <c r="B264" s="350"/>
      <c r="C264" s="350"/>
      <c r="D264" s="350"/>
      <c r="E264" s="350"/>
      <c r="F264" s="350"/>
      <c r="G264" s="350"/>
      <c r="H264" s="350"/>
      <c r="I264" s="350"/>
      <c r="J264" s="350"/>
      <c r="K264" s="350"/>
      <c r="L264" s="350"/>
      <c r="M264" s="350"/>
      <c r="N264" s="350"/>
      <c r="O264" s="350"/>
      <c r="P264" s="350"/>
      <c r="Q264" s="350"/>
      <c r="R264" s="351" t="s">
        <v>2214</v>
      </c>
      <c r="S264" s="351"/>
      <c r="T264" s="351"/>
      <c r="U264" s="351"/>
      <c r="V264" s="351"/>
      <c r="W264" s="351"/>
      <c r="X264" s="351"/>
      <c r="Y264" s="351"/>
      <c r="Z264" s="351"/>
      <c r="AA264" s="351" t="s">
        <v>2185</v>
      </c>
      <c r="AB264" s="351"/>
      <c r="AC264" s="351"/>
      <c r="AD264" s="351"/>
      <c r="AE264" s="351" t="s">
        <v>2215</v>
      </c>
      <c r="AF264" s="351"/>
      <c r="AG264" s="351"/>
    </row>
    <row r="265" spans="1:33" ht="12.75">
      <c r="A265" s="366" t="s">
        <v>2255</v>
      </c>
      <c r="B265" s="366"/>
      <c r="C265" s="366"/>
      <c r="D265" s="366"/>
      <c r="E265" s="366"/>
      <c r="F265" s="366"/>
      <c r="G265" s="366"/>
      <c r="H265" s="366"/>
      <c r="I265" s="366"/>
      <c r="J265" s="366"/>
      <c r="K265" s="366"/>
      <c r="L265" s="366"/>
      <c r="M265" s="366"/>
      <c r="N265" s="366"/>
      <c r="O265" s="366"/>
      <c r="P265" s="366"/>
      <c r="Q265" s="366"/>
      <c r="R265" s="366"/>
      <c r="S265" s="366"/>
      <c r="T265" s="366"/>
      <c r="U265" s="366"/>
      <c r="V265" s="366"/>
      <c r="W265" s="366"/>
      <c r="X265" s="366"/>
      <c r="Y265" s="366"/>
      <c r="Z265" s="366"/>
      <c r="AA265" s="366"/>
      <c r="AB265" s="366"/>
      <c r="AC265" s="366"/>
      <c r="AD265" s="366"/>
      <c r="AE265" s="366"/>
      <c r="AF265" s="366"/>
      <c r="AG265" s="366"/>
    </row>
    <row r="266" spans="1:33" ht="12.75">
      <c r="A266" s="367"/>
      <c r="B266" s="343" t="s">
        <v>2256</v>
      </c>
      <c r="C266" s="343"/>
      <c r="D266" s="343"/>
      <c r="E266" s="343"/>
      <c r="F266" s="343"/>
      <c r="G266" s="343"/>
      <c r="H266" s="343"/>
      <c r="I266" s="343"/>
      <c r="J266" s="343"/>
      <c r="K266" s="343"/>
      <c r="L266" s="343"/>
      <c r="M266" s="343"/>
      <c r="N266" s="343"/>
      <c r="O266" s="343"/>
      <c r="P266" s="343"/>
      <c r="Q266" s="343"/>
      <c r="R266" s="343"/>
      <c r="S266" s="343"/>
      <c r="T266" s="343"/>
      <c r="U266" s="343"/>
      <c r="V266" s="343"/>
      <c r="W266" s="343"/>
      <c r="X266" s="352"/>
      <c r="Y266" s="352"/>
      <c r="Z266" s="352"/>
      <c r="AA266" s="352"/>
      <c r="AB266" s="352"/>
      <c r="AC266" s="352"/>
      <c r="AD266" s="352"/>
      <c r="AE266" s="352"/>
      <c r="AF266" s="352"/>
      <c r="AG266" s="352"/>
    </row>
    <row r="267" spans="1:33" ht="12.75">
      <c r="A267" s="367"/>
      <c r="B267" s="343" t="s">
        <v>2257</v>
      </c>
      <c r="C267" s="343"/>
      <c r="D267" s="343"/>
      <c r="E267" s="343"/>
      <c r="F267" s="343"/>
      <c r="G267" s="343"/>
      <c r="H267" s="343"/>
      <c r="I267" s="343"/>
      <c r="J267" s="343"/>
      <c r="K267" s="343"/>
      <c r="L267" s="343"/>
      <c r="M267" s="343"/>
      <c r="N267" s="343"/>
      <c r="O267" s="343"/>
      <c r="P267" s="343"/>
      <c r="Q267" s="343"/>
      <c r="R267" s="343"/>
      <c r="S267" s="343"/>
      <c r="T267" s="343"/>
      <c r="U267" s="343"/>
      <c r="V267" s="343"/>
      <c r="W267" s="343"/>
      <c r="X267" s="368" t="s">
        <v>2258</v>
      </c>
      <c r="Y267" s="368"/>
      <c r="Z267" s="368"/>
      <c r="AA267" s="368" t="s">
        <v>2259</v>
      </c>
      <c r="AB267" s="368"/>
      <c r="AC267" s="368"/>
      <c r="AD267" s="368"/>
      <c r="AE267" s="368" t="s">
        <v>2260</v>
      </c>
      <c r="AF267" s="368"/>
      <c r="AG267" s="368"/>
    </row>
    <row r="268" spans="1:33" ht="12.75">
      <c r="A268" s="367"/>
      <c r="B268" s="343" t="s">
        <v>2261</v>
      </c>
      <c r="C268" s="343"/>
      <c r="D268" s="343"/>
      <c r="E268" s="343"/>
      <c r="F268" s="343"/>
      <c r="G268" s="343"/>
      <c r="H268" s="343"/>
      <c r="I268" s="343"/>
      <c r="J268" s="343"/>
      <c r="K268" s="343"/>
      <c r="L268" s="343"/>
      <c r="M268" s="343"/>
      <c r="N268" s="343"/>
      <c r="O268" s="343"/>
      <c r="P268" s="343"/>
      <c r="Q268" s="343"/>
      <c r="R268" s="343"/>
      <c r="S268" s="343"/>
      <c r="T268" s="343"/>
      <c r="U268" s="343"/>
      <c r="V268" s="343"/>
      <c r="W268" s="343"/>
      <c r="X268" s="352"/>
      <c r="Y268" s="352"/>
      <c r="Z268" s="352"/>
      <c r="AA268" s="352"/>
      <c r="AB268" s="352"/>
      <c r="AC268" s="352"/>
      <c r="AD268" s="352"/>
      <c r="AE268" s="352"/>
      <c r="AF268" s="352"/>
      <c r="AG268" s="352"/>
    </row>
    <row r="269" spans="1:33" ht="12.75">
      <c r="A269" s="367"/>
      <c r="B269" s="343" t="s">
        <v>2262</v>
      </c>
      <c r="C269" s="343"/>
      <c r="D269" s="343"/>
      <c r="E269" s="343"/>
      <c r="F269" s="343"/>
      <c r="G269" s="343"/>
      <c r="H269" s="343"/>
      <c r="I269" s="343"/>
      <c r="J269" s="343"/>
      <c r="K269" s="343"/>
      <c r="L269" s="343"/>
      <c r="M269" s="343"/>
      <c r="N269" s="343"/>
      <c r="O269" s="343"/>
      <c r="P269" s="343"/>
      <c r="Q269" s="343"/>
      <c r="R269" s="343"/>
      <c r="S269" s="343"/>
      <c r="T269" s="343"/>
      <c r="U269" s="343"/>
      <c r="V269" s="343"/>
      <c r="W269" s="343"/>
      <c r="X269" s="368" t="s">
        <v>2263</v>
      </c>
      <c r="Y269" s="368"/>
      <c r="Z269" s="368"/>
      <c r="AA269" s="368" t="s">
        <v>2264</v>
      </c>
      <c r="AB269" s="368"/>
      <c r="AC269" s="368"/>
      <c r="AD269" s="368"/>
      <c r="AE269" s="368" t="s">
        <v>2265</v>
      </c>
      <c r="AF269" s="368"/>
      <c r="AG269" s="368"/>
    </row>
    <row r="270" spans="1:33" ht="13.5" thickBot="1">
      <c r="A270" s="367"/>
      <c r="B270" s="345" t="s">
        <v>2266</v>
      </c>
      <c r="C270" s="345"/>
      <c r="D270" s="345"/>
      <c r="E270" s="345"/>
      <c r="F270" s="345"/>
      <c r="G270" s="345"/>
      <c r="H270" s="345"/>
      <c r="I270" s="345"/>
      <c r="J270" s="345"/>
      <c r="K270" s="345"/>
      <c r="L270" s="345"/>
      <c r="M270" s="345"/>
      <c r="N270" s="345"/>
      <c r="O270" s="345"/>
      <c r="P270" s="345"/>
      <c r="Q270" s="345"/>
      <c r="R270" s="345"/>
      <c r="S270" s="345"/>
      <c r="T270" s="345"/>
      <c r="U270" s="345"/>
      <c r="V270" s="345"/>
      <c r="W270" s="345"/>
      <c r="X270" s="353"/>
      <c r="Y270" s="353"/>
      <c r="Z270" s="353"/>
      <c r="AA270" s="353"/>
      <c r="AB270" s="353"/>
      <c r="AC270" s="353"/>
      <c r="AD270" s="353"/>
      <c r="AE270" s="353"/>
      <c r="AF270" s="353"/>
      <c r="AG270" s="353"/>
    </row>
    <row r="271" spans="1:33" ht="12.75">
      <c r="A271" s="366" t="s">
        <v>2267</v>
      </c>
      <c r="B271" s="366"/>
      <c r="C271" s="366"/>
      <c r="D271" s="366"/>
      <c r="E271" s="366"/>
      <c r="F271" s="366"/>
      <c r="G271" s="366"/>
      <c r="H271" s="366"/>
      <c r="I271" s="366"/>
      <c r="J271" s="366"/>
      <c r="K271" s="366"/>
      <c r="L271" s="366"/>
      <c r="M271" s="366"/>
      <c r="N271" s="366"/>
      <c r="O271" s="366"/>
      <c r="P271" s="366"/>
      <c r="Q271" s="366"/>
      <c r="R271" s="366"/>
      <c r="S271" s="366"/>
      <c r="T271" s="366"/>
      <c r="U271" s="366"/>
      <c r="V271" s="366"/>
      <c r="W271" s="366"/>
      <c r="X271" s="366"/>
      <c r="Y271" s="366"/>
      <c r="Z271" s="366"/>
      <c r="AA271" s="366"/>
      <c r="AB271" s="366"/>
      <c r="AC271" s="366"/>
      <c r="AD271" s="366"/>
      <c r="AE271" s="366"/>
      <c r="AF271" s="366"/>
      <c r="AG271" s="366"/>
    </row>
    <row r="272" spans="1:33" ht="12.75">
      <c r="A272" s="367"/>
      <c r="B272" s="343" t="s">
        <v>2268</v>
      </c>
      <c r="C272" s="343"/>
      <c r="D272" s="343"/>
      <c r="E272" s="343"/>
      <c r="F272" s="343"/>
      <c r="G272" s="343"/>
      <c r="H272" s="343"/>
      <c r="I272" s="343"/>
      <c r="J272" s="343"/>
      <c r="K272" s="343"/>
      <c r="L272" s="343"/>
      <c r="M272" s="343"/>
      <c r="N272" s="343"/>
      <c r="O272" s="343"/>
      <c r="P272" s="343"/>
      <c r="Q272" s="343"/>
      <c r="R272" s="343"/>
      <c r="S272" s="343"/>
      <c r="T272" s="343"/>
      <c r="U272" s="343"/>
      <c r="V272" s="343"/>
      <c r="W272" s="343"/>
      <c r="X272" s="368" t="s">
        <v>2269</v>
      </c>
      <c r="Y272" s="368"/>
      <c r="Z272" s="368"/>
      <c r="AA272" s="368" t="s">
        <v>2270</v>
      </c>
      <c r="AB272" s="368"/>
      <c r="AC272" s="368"/>
      <c r="AD272" s="368"/>
      <c r="AE272" s="368" t="s">
        <v>2271</v>
      </c>
      <c r="AF272" s="368"/>
      <c r="AG272" s="368"/>
    </row>
    <row r="273" spans="1:33" ht="12.75">
      <c r="A273" s="367"/>
      <c r="B273" s="343" t="s">
        <v>2272</v>
      </c>
      <c r="C273" s="343"/>
      <c r="D273" s="343"/>
      <c r="E273" s="343"/>
      <c r="F273" s="343"/>
      <c r="G273" s="343"/>
      <c r="H273" s="343"/>
      <c r="I273" s="343"/>
      <c r="J273" s="343"/>
      <c r="K273" s="343"/>
      <c r="L273" s="343"/>
      <c r="M273" s="343"/>
      <c r="N273" s="343"/>
      <c r="O273" s="343"/>
      <c r="P273" s="343"/>
      <c r="Q273" s="343"/>
      <c r="R273" s="343"/>
      <c r="S273" s="343"/>
      <c r="T273" s="343"/>
      <c r="U273" s="343"/>
      <c r="V273" s="343"/>
      <c r="W273" s="343"/>
      <c r="X273" s="368" t="s">
        <v>2273</v>
      </c>
      <c r="Y273" s="368"/>
      <c r="Z273" s="368"/>
      <c r="AA273" s="368" t="s">
        <v>2274</v>
      </c>
      <c r="AB273" s="368"/>
      <c r="AC273" s="368"/>
      <c r="AD273" s="368"/>
      <c r="AE273" s="368" t="s">
        <v>2275</v>
      </c>
      <c r="AF273" s="368"/>
      <c r="AG273" s="368"/>
    </row>
    <row r="274" spans="1:33" ht="12.75">
      <c r="A274" s="367"/>
      <c r="B274" s="343" t="s">
        <v>2276</v>
      </c>
      <c r="C274" s="343"/>
      <c r="D274" s="343"/>
      <c r="E274" s="343"/>
      <c r="F274" s="343"/>
      <c r="G274" s="343"/>
      <c r="H274" s="343"/>
      <c r="I274" s="343"/>
      <c r="J274" s="343"/>
      <c r="K274" s="343"/>
      <c r="L274" s="343"/>
      <c r="M274" s="343"/>
      <c r="N274" s="343"/>
      <c r="O274" s="343"/>
      <c r="P274" s="343"/>
      <c r="Q274" s="343"/>
      <c r="R274" s="343"/>
      <c r="S274" s="343"/>
      <c r="T274" s="343"/>
      <c r="U274" s="343"/>
      <c r="V274" s="343"/>
      <c r="W274" s="343"/>
      <c r="X274" s="352"/>
      <c r="Y274" s="352"/>
      <c r="Z274" s="352"/>
      <c r="AA274" s="352"/>
      <c r="AB274" s="352"/>
      <c r="AC274" s="352"/>
      <c r="AD274" s="352"/>
      <c r="AE274" s="352"/>
      <c r="AF274" s="352"/>
      <c r="AG274" s="352"/>
    </row>
    <row r="275" spans="1:33" ht="12.75">
      <c r="A275" s="367"/>
      <c r="B275" s="343" t="s">
        <v>2277</v>
      </c>
      <c r="C275" s="343"/>
      <c r="D275" s="343"/>
      <c r="E275" s="343"/>
      <c r="F275" s="343"/>
      <c r="G275" s="343"/>
      <c r="H275" s="343"/>
      <c r="I275" s="343"/>
      <c r="J275" s="343"/>
      <c r="K275" s="343"/>
      <c r="L275" s="343"/>
      <c r="M275" s="343"/>
      <c r="N275" s="343"/>
      <c r="O275" s="343"/>
      <c r="P275" s="343"/>
      <c r="Q275" s="343"/>
      <c r="R275" s="343"/>
      <c r="S275" s="343"/>
      <c r="T275" s="343"/>
      <c r="U275" s="343"/>
      <c r="V275" s="343"/>
      <c r="W275" s="343"/>
      <c r="X275" s="352"/>
      <c r="Y275" s="352"/>
      <c r="Z275" s="352"/>
      <c r="AA275" s="352"/>
      <c r="AB275" s="352"/>
      <c r="AC275" s="352"/>
      <c r="AD275" s="352"/>
      <c r="AE275" s="352"/>
      <c r="AF275" s="352"/>
      <c r="AG275" s="352"/>
    </row>
    <row r="276" spans="1:33" ht="12.75">
      <c r="A276" s="367"/>
      <c r="B276" s="343" t="s">
        <v>2278</v>
      </c>
      <c r="C276" s="343"/>
      <c r="D276" s="343"/>
      <c r="E276" s="343"/>
      <c r="F276" s="343"/>
      <c r="G276" s="343"/>
      <c r="H276" s="343"/>
      <c r="I276" s="343"/>
      <c r="J276" s="343"/>
      <c r="K276" s="343"/>
      <c r="L276" s="343"/>
      <c r="M276" s="343"/>
      <c r="N276" s="343"/>
      <c r="O276" s="343"/>
      <c r="P276" s="343"/>
      <c r="Q276" s="343"/>
      <c r="R276" s="343"/>
      <c r="S276" s="343"/>
      <c r="T276" s="343"/>
      <c r="U276" s="343"/>
      <c r="V276" s="343"/>
      <c r="W276" s="343"/>
      <c r="X276" s="368" t="s">
        <v>2279</v>
      </c>
      <c r="Y276" s="368"/>
      <c r="Z276" s="368"/>
      <c r="AA276" s="368" t="s">
        <v>2280</v>
      </c>
      <c r="AB276" s="368"/>
      <c r="AC276" s="368"/>
      <c r="AD276" s="368"/>
      <c r="AE276" s="368" t="s">
        <v>2281</v>
      </c>
      <c r="AF276" s="368"/>
      <c r="AG276" s="368"/>
    </row>
    <row r="277" spans="1:33" ht="13.5" thickBot="1">
      <c r="A277" s="367"/>
      <c r="B277" s="345" t="s">
        <v>2282</v>
      </c>
      <c r="C277" s="345"/>
      <c r="D277" s="345"/>
      <c r="E277" s="345"/>
      <c r="F277" s="345"/>
      <c r="G277" s="345"/>
      <c r="H277" s="345"/>
      <c r="I277" s="345"/>
      <c r="J277" s="345"/>
      <c r="K277" s="345"/>
      <c r="L277" s="345"/>
      <c r="M277" s="345"/>
      <c r="N277" s="345"/>
      <c r="O277" s="345"/>
      <c r="P277" s="345"/>
      <c r="Q277" s="345"/>
      <c r="R277" s="345"/>
      <c r="S277" s="345"/>
      <c r="T277" s="345"/>
      <c r="U277" s="345"/>
      <c r="V277" s="345"/>
      <c r="W277" s="345"/>
      <c r="X277" s="359" t="s">
        <v>2283</v>
      </c>
      <c r="Y277" s="359"/>
      <c r="Z277" s="359"/>
      <c r="AA277" s="359" t="s">
        <v>2284</v>
      </c>
      <c r="AB277" s="359"/>
      <c r="AC277" s="359"/>
      <c r="AD277" s="359"/>
      <c r="AE277" s="359" t="s">
        <v>2285</v>
      </c>
      <c r="AF277" s="359"/>
      <c r="AG277" s="359"/>
    </row>
    <row r="278" spans="1:33" ht="15.75" thickBot="1">
      <c r="A278" s="349" t="s">
        <v>2286</v>
      </c>
      <c r="B278" s="349"/>
      <c r="C278" s="349"/>
      <c r="D278" s="349"/>
      <c r="E278" s="349"/>
      <c r="F278" s="349"/>
      <c r="G278" s="349"/>
      <c r="H278" s="349"/>
      <c r="I278" s="349"/>
      <c r="J278" s="349"/>
      <c r="K278" s="349"/>
      <c r="L278" s="349"/>
      <c r="M278" s="349"/>
      <c r="N278" s="349"/>
      <c r="O278" s="349"/>
      <c r="P278" s="349"/>
      <c r="Q278" s="349"/>
      <c r="R278" s="349"/>
      <c r="S278" s="349"/>
      <c r="T278" s="349"/>
      <c r="U278" s="349"/>
      <c r="V278" s="349"/>
      <c r="W278" s="349"/>
      <c r="X278" s="349"/>
      <c r="Y278" s="349"/>
      <c r="Z278" s="349"/>
      <c r="AA278" s="349"/>
      <c r="AB278" s="349"/>
      <c r="AC278" s="349"/>
      <c r="AD278" s="349"/>
      <c r="AE278" s="349"/>
      <c r="AF278" s="349"/>
      <c r="AG278" s="349"/>
    </row>
    <row r="279" spans="1:33" ht="12.75">
      <c r="A279" s="350" t="s">
        <v>2287</v>
      </c>
      <c r="B279" s="350"/>
      <c r="C279" s="350"/>
      <c r="D279" s="350"/>
      <c r="E279" s="350" t="s">
        <v>1574</v>
      </c>
      <c r="F279" s="350"/>
      <c r="G279" s="350"/>
      <c r="H279" s="350"/>
      <c r="I279" s="350"/>
      <c r="J279" s="350"/>
      <c r="K279" s="350"/>
      <c r="L279" s="350"/>
      <c r="M279" s="350"/>
      <c r="N279" s="350"/>
      <c r="O279" s="350"/>
      <c r="P279" s="350"/>
      <c r="Q279" s="350"/>
      <c r="R279" s="350"/>
      <c r="S279" s="350"/>
      <c r="T279" s="350"/>
      <c r="U279" s="350"/>
      <c r="V279" s="350"/>
      <c r="W279" s="350"/>
      <c r="X279" s="351" t="s">
        <v>1575</v>
      </c>
      <c r="Y279" s="351"/>
      <c r="Z279" s="351"/>
      <c r="AA279" s="351" t="s">
        <v>1576</v>
      </c>
      <c r="AB279" s="351"/>
      <c r="AC279" s="351"/>
      <c r="AD279" s="351"/>
      <c r="AE279" s="351" t="s">
        <v>1577</v>
      </c>
      <c r="AF279" s="351"/>
      <c r="AG279" s="351"/>
    </row>
    <row r="280" spans="1:33" ht="12.75">
      <c r="A280" s="343" t="s">
        <v>1750</v>
      </c>
      <c r="B280" s="343"/>
      <c r="C280" s="343"/>
      <c r="D280" s="343"/>
      <c r="E280" s="343" t="s">
        <v>1751</v>
      </c>
      <c r="F280" s="343"/>
      <c r="G280" s="343"/>
      <c r="H280" s="343"/>
      <c r="I280" s="343"/>
      <c r="J280" s="343"/>
      <c r="K280" s="343"/>
      <c r="L280" s="343"/>
      <c r="M280" s="343"/>
      <c r="N280" s="343"/>
      <c r="O280" s="343"/>
      <c r="P280" s="343"/>
      <c r="Q280" s="343"/>
      <c r="R280" s="343"/>
      <c r="S280" s="343"/>
      <c r="T280" s="343"/>
      <c r="U280" s="343"/>
      <c r="V280" s="343"/>
      <c r="W280" s="343"/>
      <c r="X280" s="352" t="s">
        <v>1752</v>
      </c>
      <c r="Y280" s="352"/>
      <c r="Z280" s="352"/>
      <c r="AA280" s="352" t="s">
        <v>1753</v>
      </c>
      <c r="AB280" s="352"/>
      <c r="AC280" s="352"/>
      <c r="AD280" s="352"/>
      <c r="AE280" s="352" t="s">
        <v>1754</v>
      </c>
      <c r="AF280" s="352"/>
      <c r="AG280" s="352"/>
    </row>
    <row r="281" spans="1:33" ht="12.75">
      <c r="A281" s="343" t="s">
        <v>1761</v>
      </c>
      <c r="B281" s="343"/>
      <c r="C281" s="343"/>
      <c r="D281" s="343"/>
      <c r="E281" s="343" t="s">
        <v>1762</v>
      </c>
      <c r="F281" s="343"/>
      <c r="G281" s="343"/>
      <c r="H281" s="343"/>
      <c r="I281" s="343"/>
      <c r="J281" s="343"/>
      <c r="K281" s="343"/>
      <c r="L281" s="343"/>
      <c r="M281" s="343"/>
      <c r="N281" s="343"/>
      <c r="O281" s="343"/>
      <c r="P281" s="343"/>
      <c r="Q281" s="343"/>
      <c r="R281" s="343"/>
      <c r="S281" s="343"/>
      <c r="T281" s="343"/>
      <c r="U281" s="343"/>
      <c r="V281" s="343"/>
      <c r="W281" s="343"/>
      <c r="X281" s="352" t="s">
        <v>1596</v>
      </c>
      <c r="Y281" s="352"/>
      <c r="Z281" s="352"/>
      <c r="AA281" s="352" t="s">
        <v>1596</v>
      </c>
      <c r="AB281" s="352"/>
      <c r="AC281" s="352"/>
      <c r="AD281" s="352"/>
      <c r="AE281" s="352" t="s">
        <v>1597</v>
      </c>
      <c r="AF281" s="352"/>
      <c r="AG281" s="352"/>
    </row>
    <row r="282" spans="1:33" ht="12.75">
      <c r="A282" s="343" t="s">
        <v>1778</v>
      </c>
      <c r="B282" s="343"/>
      <c r="C282" s="343"/>
      <c r="D282" s="343"/>
      <c r="E282" s="343" t="s">
        <v>1779</v>
      </c>
      <c r="F282" s="343"/>
      <c r="G282" s="343"/>
      <c r="H282" s="343"/>
      <c r="I282" s="343"/>
      <c r="J282" s="343"/>
      <c r="K282" s="343"/>
      <c r="L282" s="343"/>
      <c r="M282" s="343"/>
      <c r="N282" s="343"/>
      <c r="O282" s="343"/>
      <c r="P282" s="343"/>
      <c r="Q282" s="343"/>
      <c r="R282" s="343"/>
      <c r="S282" s="343"/>
      <c r="T282" s="343"/>
      <c r="U282" s="343"/>
      <c r="V282" s="343"/>
      <c r="W282" s="343"/>
      <c r="X282" s="352"/>
      <c r="Y282" s="352"/>
      <c r="Z282" s="352"/>
      <c r="AA282" s="352" t="s">
        <v>1780</v>
      </c>
      <c r="AB282" s="352"/>
      <c r="AC282" s="352"/>
      <c r="AD282" s="352"/>
      <c r="AE282" s="352" t="s">
        <v>1780</v>
      </c>
      <c r="AF282" s="352"/>
      <c r="AG282" s="352"/>
    </row>
    <row r="283" spans="1:33" ht="12.75">
      <c r="A283" s="343" t="s">
        <v>2005</v>
      </c>
      <c r="B283" s="343"/>
      <c r="C283" s="343"/>
      <c r="D283" s="343"/>
      <c r="E283" s="343" t="s">
        <v>2288</v>
      </c>
      <c r="F283" s="343"/>
      <c r="G283" s="343"/>
      <c r="H283" s="343"/>
      <c r="I283" s="343"/>
      <c r="J283" s="343"/>
      <c r="K283" s="343"/>
      <c r="L283" s="343"/>
      <c r="M283" s="343"/>
      <c r="N283" s="343"/>
      <c r="O283" s="343"/>
      <c r="P283" s="343"/>
      <c r="Q283" s="343"/>
      <c r="R283" s="343"/>
      <c r="S283" s="343"/>
      <c r="T283" s="343"/>
      <c r="U283" s="343"/>
      <c r="V283" s="343"/>
      <c r="W283" s="343"/>
      <c r="X283" s="352"/>
      <c r="Y283" s="352"/>
      <c r="Z283" s="352"/>
      <c r="AA283" s="352"/>
      <c r="AB283" s="352"/>
      <c r="AC283" s="352"/>
      <c r="AD283" s="352"/>
      <c r="AE283" s="352" t="s">
        <v>2007</v>
      </c>
      <c r="AF283" s="352"/>
      <c r="AG283" s="352"/>
    </row>
    <row r="284" spans="1:33" ht="13.5" thickBot="1">
      <c r="A284" s="345" t="s">
        <v>2008</v>
      </c>
      <c r="B284" s="345"/>
      <c r="C284" s="345"/>
      <c r="D284" s="345"/>
      <c r="E284" s="345" t="s">
        <v>2009</v>
      </c>
      <c r="F284" s="345"/>
      <c r="G284" s="345"/>
      <c r="H284" s="345"/>
      <c r="I284" s="345"/>
      <c r="J284" s="345"/>
      <c r="K284" s="345"/>
      <c r="L284" s="345"/>
      <c r="M284" s="345"/>
      <c r="N284" s="345"/>
      <c r="O284" s="345"/>
      <c r="P284" s="345"/>
      <c r="Q284" s="345"/>
      <c r="R284" s="345"/>
      <c r="S284" s="345"/>
      <c r="T284" s="345"/>
      <c r="U284" s="345"/>
      <c r="V284" s="345"/>
      <c r="W284" s="345"/>
      <c r="X284" s="353" t="s">
        <v>1596</v>
      </c>
      <c r="Y284" s="353"/>
      <c r="Z284" s="353"/>
      <c r="AA284" s="353" t="s">
        <v>1596</v>
      </c>
      <c r="AB284" s="353"/>
      <c r="AC284" s="353"/>
      <c r="AD284" s="353"/>
      <c r="AE284" s="353" t="s">
        <v>2010</v>
      </c>
      <c r="AF284" s="353"/>
      <c r="AG284" s="353"/>
    </row>
    <row r="285" spans="1:33" ht="15.75" thickBot="1">
      <c r="A285" s="349" t="s">
        <v>2289</v>
      </c>
      <c r="B285" s="349"/>
      <c r="C285" s="349"/>
      <c r="D285" s="349"/>
      <c r="E285" s="349"/>
      <c r="F285" s="349"/>
      <c r="G285" s="349"/>
      <c r="H285" s="349"/>
      <c r="I285" s="349"/>
      <c r="J285" s="349"/>
      <c r="K285" s="349"/>
      <c r="L285" s="349"/>
      <c r="M285" s="349"/>
      <c r="N285" s="349"/>
      <c r="O285" s="349"/>
      <c r="P285" s="349"/>
      <c r="Q285" s="349"/>
      <c r="R285" s="349"/>
      <c r="S285" s="349"/>
      <c r="T285" s="349"/>
      <c r="U285" s="349"/>
      <c r="V285" s="349"/>
      <c r="W285" s="349"/>
      <c r="X285" s="349"/>
      <c r="Y285" s="349"/>
      <c r="Z285" s="349"/>
      <c r="AA285" s="349"/>
      <c r="AB285" s="349"/>
      <c r="AC285" s="349"/>
      <c r="AD285" s="349"/>
      <c r="AE285" s="349"/>
      <c r="AF285" s="349"/>
      <c r="AG285" s="349"/>
    </row>
    <row r="286" spans="1:33" ht="13.5" thickBot="1">
      <c r="A286" s="372" t="s">
        <v>2290</v>
      </c>
      <c r="B286" s="372"/>
      <c r="C286" s="372"/>
      <c r="D286" s="372"/>
      <c r="E286" s="372" t="s">
        <v>2287</v>
      </c>
      <c r="F286" s="372"/>
      <c r="G286" s="372"/>
      <c r="H286" s="372" t="s">
        <v>2291</v>
      </c>
      <c r="I286" s="372"/>
      <c r="J286" s="372"/>
      <c r="K286" s="372"/>
      <c r="L286" s="372"/>
      <c r="M286" s="372"/>
      <c r="N286" s="372"/>
      <c r="O286" s="372"/>
      <c r="P286" s="372"/>
      <c r="Q286" s="372"/>
      <c r="R286" s="372"/>
      <c r="S286" s="372"/>
      <c r="T286" s="372"/>
      <c r="U286" s="372"/>
      <c r="V286" s="373" t="s">
        <v>2292</v>
      </c>
      <c r="W286" s="373"/>
      <c r="X286" s="373"/>
      <c r="Y286" s="373"/>
      <c r="Z286" s="373" t="s">
        <v>2293</v>
      </c>
      <c r="AA286" s="373"/>
      <c r="AB286" s="373"/>
      <c r="AC286" s="373"/>
      <c r="AD286" s="373" t="s">
        <v>2294</v>
      </c>
      <c r="AE286" s="373"/>
      <c r="AF286" s="373" t="s">
        <v>2295</v>
      </c>
      <c r="AG286" s="373"/>
    </row>
    <row r="287" spans="1:33" ht="12.75">
      <c r="A287" s="374">
        <v>13008</v>
      </c>
      <c r="B287" s="374"/>
      <c r="C287" s="374"/>
      <c r="D287" s="374"/>
      <c r="E287" s="375">
        <v>4116</v>
      </c>
      <c r="F287" s="375"/>
      <c r="G287" s="375"/>
      <c r="H287" s="371" t="s">
        <v>2296</v>
      </c>
      <c r="I287" s="371"/>
      <c r="J287" s="371"/>
      <c r="K287" s="371"/>
      <c r="L287" s="371"/>
      <c r="M287" s="371"/>
      <c r="N287" s="371"/>
      <c r="O287" s="371"/>
      <c r="P287" s="371"/>
      <c r="Q287" s="371"/>
      <c r="R287" s="371"/>
      <c r="S287" s="371"/>
      <c r="T287" s="371"/>
      <c r="U287" s="371"/>
      <c r="V287" s="376">
        <v>44100</v>
      </c>
      <c r="W287" s="376"/>
      <c r="X287" s="376"/>
      <c r="Y287" s="376"/>
      <c r="Z287" s="377" t="s">
        <v>2297</v>
      </c>
      <c r="AA287" s="377"/>
      <c r="AB287" s="377"/>
      <c r="AC287" s="377"/>
      <c r="AD287" s="376">
        <v>44050</v>
      </c>
      <c r="AE287" s="376"/>
      <c r="AF287" s="377" t="s">
        <v>2297</v>
      </c>
      <c r="AG287" s="377"/>
    </row>
    <row r="288" spans="1:33" ht="12.75">
      <c r="A288" s="374">
        <v>13008</v>
      </c>
      <c r="B288" s="374"/>
      <c r="C288" s="374"/>
      <c r="D288" s="374"/>
      <c r="E288" s="375">
        <v>5410</v>
      </c>
      <c r="F288" s="375"/>
      <c r="G288" s="375"/>
      <c r="H288" s="371" t="s">
        <v>2034</v>
      </c>
      <c r="I288" s="371"/>
      <c r="J288" s="371"/>
      <c r="K288" s="371"/>
      <c r="L288" s="371"/>
      <c r="M288" s="371"/>
      <c r="N288" s="371"/>
      <c r="O288" s="371"/>
      <c r="P288" s="371"/>
      <c r="Q288" s="371"/>
      <c r="R288" s="371"/>
      <c r="S288" s="371"/>
      <c r="T288" s="371"/>
      <c r="U288" s="371"/>
      <c r="V288" s="377" t="s">
        <v>2297</v>
      </c>
      <c r="W288" s="377"/>
      <c r="X288" s="377"/>
      <c r="Y288" s="377"/>
      <c r="Z288" s="376">
        <v>44100</v>
      </c>
      <c r="AA288" s="376"/>
      <c r="AB288" s="376"/>
      <c r="AC288" s="376"/>
      <c r="AD288" s="377" t="s">
        <v>2297</v>
      </c>
      <c r="AE288" s="377"/>
      <c r="AF288" s="376">
        <v>44050</v>
      </c>
      <c r="AG288" s="376"/>
    </row>
    <row r="289" spans="1:33" ht="13.5" thickBot="1">
      <c r="A289" s="378">
        <v>13008</v>
      </c>
      <c r="B289" s="378"/>
      <c r="C289" s="378"/>
      <c r="D289" s="378"/>
      <c r="E289" s="379" t="s">
        <v>2298</v>
      </c>
      <c r="F289" s="379"/>
      <c r="G289" s="379"/>
      <c r="H289" s="379"/>
      <c r="I289" s="379"/>
      <c r="J289" s="379"/>
      <c r="K289" s="379"/>
      <c r="L289" s="379"/>
      <c r="M289" s="379"/>
      <c r="N289" s="379"/>
      <c r="O289" s="379"/>
      <c r="P289" s="379"/>
      <c r="Q289" s="379"/>
      <c r="R289" s="379"/>
      <c r="S289" s="379"/>
      <c r="T289" s="379"/>
      <c r="U289" s="379"/>
      <c r="V289" s="380">
        <v>44100</v>
      </c>
      <c r="W289" s="380"/>
      <c r="X289" s="380"/>
      <c r="Y289" s="380"/>
      <c r="Z289" s="380">
        <v>44100</v>
      </c>
      <c r="AA289" s="380"/>
      <c r="AB289" s="380"/>
      <c r="AC289" s="380"/>
      <c r="AD289" s="380">
        <v>44050</v>
      </c>
      <c r="AE289" s="380"/>
      <c r="AF289" s="380">
        <v>44050</v>
      </c>
      <c r="AG289" s="380"/>
    </row>
    <row r="290" spans="1:33" ht="12.75">
      <c r="A290" s="381">
        <v>13305</v>
      </c>
      <c r="B290" s="381"/>
      <c r="C290" s="381"/>
      <c r="D290" s="381"/>
      <c r="E290" s="382">
        <v>4116</v>
      </c>
      <c r="F290" s="382"/>
      <c r="G290" s="382"/>
      <c r="H290" s="383" t="s">
        <v>2296</v>
      </c>
      <c r="I290" s="383"/>
      <c r="J290" s="383"/>
      <c r="K290" s="383"/>
      <c r="L290" s="383"/>
      <c r="M290" s="383"/>
      <c r="N290" s="383"/>
      <c r="O290" s="383"/>
      <c r="P290" s="383"/>
      <c r="Q290" s="383"/>
      <c r="R290" s="383"/>
      <c r="S290" s="383"/>
      <c r="T290" s="383"/>
      <c r="U290" s="383"/>
      <c r="V290" s="384">
        <v>970000</v>
      </c>
      <c r="W290" s="384"/>
      <c r="X290" s="384"/>
      <c r="Y290" s="384"/>
      <c r="Z290" s="385" t="s">
        <v>2297</v>
      </c>
      <c r="AA290" s="385"/>
      <c r="AB290" s="385"/>
      <c r="AC290" s="385"/>
      <c r="AD290" s="384">
        <v>970000</v>
      </c>
      <c r="AE290" s="384"/>
      <c r="AF290" s="385" t="s">
        <v>2297</v>
      </c>
      <c r="AG290" s="385"/>
    </row>
    <row r="291" spans="1:33" ht="12.75">
      <c r="A291" s="374">
        <v>13305</v>
      </c>
      <c r="B291" s="374"/>
      <c r="C291" s="374"/>
      <c r="D291" s="374"/>
      <c r="E291" s="375">
        <v>5011</v>
      </c>
      <c r="F291" s="375"/>
      <c r="G291" s="375"/>
      <c r="H291" s="371" t="s">
        <v>1805</v>
      </c>
      <c r="I291" s="371"/>
      <c r="J291" s="371"/>
      <c r="K291" s="371"/>
      <c r="L291" s="371"/>
      <c r="M291" s="371"/>
      <c r="N291" s="371"/>
      <c r="O291" s="371"/>
      <c r="P291" s="371"/>
      <c r="Q291" s="371"/>
      <c r="R291" s="371"/>
      <c r="S291" s="371"/>
      <c r="T291" s="371"/>
      <c r="U291" s="371"/>
      <c r="V291" s="377" t="s">
        <v>2297</v>
      </c>
      <c r="W291" s="377"/>
      <c r="X291" s="377"/>
      <c r="Y291" s="377"/>
      <c r="Z291" s="376">
        <v>700000</v>
      </c>
      <c r="AA291" s="376"/>
      <c r="AB291" s="376"/>
      <c r="AC291" s="376"/>
      <c r="AD291" s="377" t="s">
        <v>2297</v>
      </c>
      <c r="AE291" s="377"/>
      <c r="AF291" s="376">
        <v>700000</v>
      </c>
      <c r="AG291" s="376"/>
    </row>
    <row r="292" spans="1:33" ht="12.75">
      <c r="A292" s="374">
        <v>13305</v>
      </c>
      <c r="B292" s="374"/>
      <c r="C292" s="374"/>
      <c r="D292" s="374"/>
      <c r="E292" s="375">
        <v>5031</v>
      </c>
      <c r="F292" s="375"/>
      <c r="G292" s="375"/>
      <c r="H292" s="371" t="s">
        <v>2299</v>
      </c>
      <c r="I292" s="371"/>
      <c r="J292" s="371"/>
      <c r="K292" s="371"/>
      <c r="L292" s="371"/>
      <c r="M292" s="371"/>
      <c r="N292" s="371"/>
      <c r="O292" s="371"/>
      <c r="P292" s="371"/>
      <c r="Q292" s="371"/>
      <c r="R292" s="371"/>
      <c r="S292" s="371"/>
      <c r="T292" s="371"/>
      <c r="U292" s="371"/>
      <c r="V292" s="377" t="s">
        <v>2297</v>
      </c>
      <c r="W292" s="377"/>
      <c r="X292" s="377"/>
      <c r="Y292" s="377"/>
      <c r="Z292" s="376">
        <v>177000</v>
      </c>
      <c r="AA292" s="376"/>
      <c r="AB292" s="376"/>
      <c r="AC292" s="376"/>
      <c r="AD292" s="377" t="s">
        <v>2297</v>
      </c>
      <c r="AE292" s="377"/>
      <c r="AF292" s="376">
        <v>177000</v>
      </c>
      <c r="AG292" s="376"/>
    </row>
    <row r="293" spans="1:33" ht="12.75">
      <c r="A293" s="374">
        <v>13305</v>
      </c>
      <c r="B293" s="374"/>
      <c r="C293" s="374"/>
      <c r="D293" s="374"/>
      <c r="E293" s="375">
        <v>5032</v>
      </c>
      <c r="F293" s="375"/>
      <c r="G293" s="375"/>
      <c r="H293" s="371" t="s">
        <v>2300</v>
      </c>
      <c r="I293" s="371"/>
      <c r="J293" s="371"/>
      <c r="K293" s="371"/>
      <c r="L293" s="371"/>
      <c r="M293" s="371"/>
      <c r="N293" s="371"/>
      <c r="O293" s="371"/>
      <c r="P293" s="371"/>
      <c r="Q293" s="371"/>
      <c r="R293" s="371"/>
      <c r="S293" s="371"/>
      <c r="T293" s="371"/>
      <c r="U293" s="371"/>
      <c r="V293" s="377" t="s">
        <v>2297</v>
      </c>
      <c r="W293" s="377"/>
      <c r="X293" s="377"/>
      <c r="Y293" s="377"/>
      <c r="Z293" s="376">
        <v>63000</v>
      </c>
      <c r="AA293" s="376"/>
      <c r="AB293" s="376"/>
      <c r="AC293" s="376"/>
      <c r="AD293" s="377" t="s">
        <v>2297</v>
      </c>
      <c r="AE293" s="377"/>
      <c r="AF293" s="376">
        <v>63000</v>
      </c>
      <c r="AG293" s="376"/>
    </row>
    <row r="294" spans="1:33" ht="12.75">
      <c r="A294" s="374">
        <v>13305</v>
      </c>
      <c r="B294" s="374"/>
      <c r="C294" s="374"/>
      <c r="D294" s="374"/>
      <c r="E294" s="375">
        <v>5156</v>
      </c>
      <c r="F294" s="375"/>
      <c r="G294" s="375"/>
      <c r="H294" s="371" t="s">
        <v>1891</v>
      </c>
      <c r="I294" s="371"/>
      <c r="J294" s="371"/>
      <c r="K294" s="371"/>
      <c r="L294" s="371"/>
      <c r="M294" s="371"/>
      <c r="N294" s="371"/>
      <c r="O294" s="371"/>
      <c r="P294" s="371"/>
      <c r="Q294" s="371"/>
      <c r="R294" s="371"/>
      <c r="S294" s="371"/>
      <c r="T294" s="371"/>
      <c r="U294" s="371"/>
      <c r="V294" s="377" t="s">
        <v>2297</v>
      </c>
      <c r="W294" s="377"/>
      <c r="X294" s="377"/>
      <c r="Y294" s="377"/>
      <c r="Z294" s="376">
        <v>30000</v>
      </c>
      <c r="AA294" s="376"/>
      <c r="AB294" s="376"/>
      <c r="AC294" s="376"/>
      <c r="AD294" s="377" t="s">
        <v>2297</v>
      </c>
      <c r="AE294" s="377"/>
      <c r="AF294" s="376">
        <v>30000</v>
      </c>
      <c r="AG294" s="376"/>
    </row>
    <row r="295" spans="1:33" ht="13.5" thickBot="1">
      <c r="A295" s="378">
        <v>13305</v>
      </c>
      <c r="B295" s="378"/>
      <c r="C295" s="378"/>
      <c r="D295" s="378"/>
      <c r="E295" s="379" t="s">
        <v>2301</v>
      </c>
      <c r="F295" s="379"/>
      <c r="G295" s="379"/>
      <c r="H295" s="379"/>
      <c r="I295" s="379"/>
      <c r="J295" s="379"/>
      <c r="K295" s="379"/>
      <c r="L295" s="379"/>
      <c r="M295" s="379"/>
      <c r="N295" s="379"/>
      <c r="O295" s="379"/>
      <c r="P295" s="379"/>
      <c r="Q295" s="379"/>
      <c r="R295" s="379"/>
      <c r="S295" s="379"/>
      <c r="T295" s="379"/>
      <c r="U295" s="379"/>
      <c r="V295" s="380">
        <v>970000</v>
      </c>
      <c r="W295" s="380"/>
      <c r="X295" s="380"/>
      <c r="Y295" s="380"/>
      <c r="Z295" s="380">
        <v>970000</v>
      </c>
      <c r="AA295" s="380"/>
      <c r="AB295" s="380"/>
      <c r="AC295" s="380"/>
      <c r="AD295" s="380">
        <v>970000</v>
      </c>
      <c r="AE295" s="380"/>
      <c r="AF295" s="380">
        <v>970000</v>
      </c>
      <c r="AG295" s="380"/>
    </row>
    <row r="296" spans="1:33" ht="12.75">
      <c r="A296" s="381">
        <v>14004</v>
      </c>
      <c r="B296" s="381"/>
      <c r="C296" s="381"/>
      <c r="D296" s="381"/>
      <c r="E296" s="382">
        <v>5167</v>
      </c>
      <c r="F296" s="382"/>
      <c r="G296" s="382"/>
      <c r="H296" s="383" t="s">
        <v>1926</v>
      </c>
      <c r="I296" s="383"/>
      <c r="J296" s="383"/>
      <c r="K296" s="383"/>
      <c r="L296" s="383"/>
      <c r="M296" s="383"/>
      <c r="N296" s="383"/>
      <c r="O296" s="383"/>
      <c r="P296" s="383"/>
      <c r="Q296" s="383"/>
      <c r="R296" s="383"/>
      <c r="S296" s="383"/>
      <c r="T296" s="383"/>
      <c r="U296" s="383"/>
      <c r="V296" s="385" t="s">
        <v>2297</v>
      </c>
      <c r="W296" s="385"/>
      <c r="X296" s="385"/>
      <c r="Y296" s="385"/>
      <c r="Z296" s="384">
        <v>7200</v>
      </c>
      <c r="AA296" s="384"/>
      <c r="AB296" s="384"/>
      <c r="AC296" s="384"/>
      <c r="AD296" s="385" t="s">
        <v>2297</v>
      </c>
      <c r="AE296" s="385"/>
      <c r="AF296" s="384">
        <v>0</v>
      </c>
      <c r="AG296" s="384"/>
    </row>
    <row r="297" spans="1:33" ht="13.5" thickBot="1">
      <c r="A297" s="378">
        <v>14004</v>
      </c>
      <c r="B297" s="378"/>
      <c r="C297" s="378"/>
      <c r="D297" s="378"/>
      <c r="E297" s="379" t="s">
        <v>2302</v>
      </c>
      <c r="F297" s="379"/>
      <c r="G297" s="379"/>
      <c r="H297" s="379"/>
      <c r="I297" s="379"/>
      <c r="J297" s="379"/>
      <c r="K297" s="379"/>
      <c r="L297" s="379"/>
      <c r="M297" s="379"/>
      <c r="N297" s="379"/>
      <c r="O297" s="379"/>
      <c r="P297" s="379"/>
      <c r="Q297" s="379"/>
      <c r="R297" s="379"/>
      <c r="S297" s="379"/>
      <c r="T297" s="379"/>
      <c r="U297" s="379"/>
      <c r="V297" s="380">
        <v>0</v>
      </c>
      <c r="W297" s="380"/>
      <c r="X297" s="380"/>
      <c r="Y297" s="380"/>
      <c r="Z297" s="380">
        <v>7200</v>
      </c>
      <c r="AA297" s="380"/>
      <c r="AB297" s="380"/>
      <c r="AC297" s="380"/>
      <c r="AD297" s="380">
        <v>0</v>
      </c>
      <c r="AE297" s="380"/>
      <c r="AF297" s="380">
        <v>0</v>
      </c>
      <c r="AG297" s="380"/>
    </row>
    <row r="298" spans="1:33" ht="12.75">
      <c r="A298" s="381">
        <v>98008</v>
      </c>
      <c r="B298" s="381"/>
      <c r="C298" s="381"/>
      <c r="D298" s="381"/>
      <c r="E298" s="382">
        <v>4111</v>
      </c>
      <c r="F298" s="382"/>
      <c r="G298" s="382"/>
      <c r="H298" s="383" t="s">
        <v>2303</v>
      </c>
      <c r="I298" s="383"/>
      <c r="J298" s="383"/>
      <c r="K298" s="383"/>
      <c r="L298" s="383"/>
      <c r="M298" s="383"/>
      <c r="N298" s="383"/>
      <c r="O298" s="383"/>
      <c r="P298" s="383"/>
      <c r="Q298" s="383"/>
      <c r="R298" s="383"/>
      <c r="S298" s="383"/>
      <c r="T298" s="383"/>
      <c r="U298" s="383"/>
      <c r="V298" s="384">
        <v>7800</v>
      </c>
      <c r="W298" s="384"/>
      <c r="X298" s="384"/>
      <c r="Y298" s="384"/>
      <c r="Z298" s="385" t="s">
        <v>2297</v>
      </c>
      <c r="AA298" s="385"/>
      <c r="AB298" s="385"/>
      <c r="AC298" s="385"/>
      <c r="AD298" s="384">
        <v>7840</v>
      </c>
      <c r="AE298" s="384"/>
      <c r="AF298" s="385" t="s">
        <v>2297</v>
      </c>
      <c r="AG298" s="385"/>
    </row>
    <row r="299" spans="1:33" ht="12.75">
      <c r="A299" s="374">
        <v>98008</v>
      </c>
      <c r="B299" s="374"/>
      <c r="C299" s="374"/>
      <c r="D299" s="374"/>
      <c r="E299" s="375">
        <v>5139</v>
      </c>
      <c r="F299" s="375"/>
      <c r="G299" s="375"/>
      <c r="H299" s="371" t="s">
        <v>2304</v>
      </c>
      <c r="I299" s="371"/>
      <c r="J299" s="371"/>
      <c r="K299" s="371"/>
      <c r="L299" s="371"/>
      <c r="M299" s="371"/>
      <c r="N299" s="371"/>
      <c r="O299" s="371"/>
      <c r="P299" s="371"/>
      <c r="Q299" s="371"/>
      <c r="R299" s="371"/>
      <c r="S299" s="371"/>
      <c r="T299" s="371"/>
      <c r="U299" s="371"/>
      <c r="V299" s="377" t="s">
        <v>2297</v>
      </c>
      <c r="W299" s="377"/>
      <c r="X299" s="377"/>
      <c r="Y299" s="377"/>
      <c r="Z299" s="376">
        <v>7800</v>
      </c>
      <c r="AA299" s="376"/>
      <c r="AB299" s="376"/>
      <c r="AC299" s="376"/>
      <c r="AD299" s="377" t="s">
        <v>2297</v>
      </c>
      <c r="AE299" s="377"/>
      <c r="AF299" s="376">
        <v>7840</v>
      </c>
      <c r="AG299" s="376"/>
    </row>
    <row r="300" spans="1:33" ht="12.75">
      <c r="A300" s="374">
        <v>98008</v>
      </c>
      <c r="B300" s="374"/>
      <c r="C300" s="374"/>
      <c r="D300" s="374"/>
      <c r="E300" s="375">
        <v>5169</v>
      </c>
      <c r="F300" s="375"/>
      <c r="G300" s="375"/>
      <c r="H300" s="371" t="s">
        <v>1931</v>
      </c>
      <c r="I300" s="371"/>
      <c r="J300" s="371"/>
      <c r="K300" s="371"/>
      <c r="L300" s="371"/>
      <c r="M300" s="371"/>
      <c r="N300" s="371"/>
      <c r="O300" s="371"/>
      <c r="P300" s="371"/>
      <c r="Q300" s="371"/>
      <c r="R300" s="371"/>
      <c r="S300" s="371"/>
      <c r="T300" s="371"/>
      <c r="U300" s="371"/>
      <c r="V300" s="377" t="s">
        <v>2297</v>
      </c>
      <c r="W300" s="377"/>
      <c r="X300" s="377"/>
      <c r="Y300" s="377"/>
      <c r="Z300" s="376">
        <v>0</v>
      </c>
      <c r="AA300" s="376"/>
      <c r="AB300" s="376"/>
      <c r="AC300" s="376"/>
      <c r="AD300" s="377" t="s">
        <v>2297</v>
      </c>
      <c r="AE300" s="377"/>
      <c r="AF300" s="376">
        <v>0</v>
      </c>
      <c r="AG300" s="376"/>
    </row>
    <row r="301" spans="1:33" ht="13.5" thickBot="1">
      <c r="A301" s="378">
        <v>98008</v>
      </c>
      <c r="B301" s="378"/>
      <c r="C301" s="378"/>
      <c r="D301" s="378"/>
      <c r="E301" s="379" t="s">
        <v>2305</v>
      </c>
      <c r="F301" s="379"/>
      <c r="G301" s="379"/>
      <c r="H301" s="379"/>
      <c r="I301" s="379"/>
      <c r="J301" s="379"/>
      <c r="K301" s="379"/>
      <c r="L301" s="379"/>
      <c r="M301" s="379"/>
      <c r="N301" s="379"/>
      <c r="O301" s="379"/>
      <c r="P301" s="379"/>
      <c r="Q301" s="379"/>
      <c r="R301" s="379"/>
      <c r="S301" s="379"/>
      <c r="T301" s="379"/>
      <c r="U301" s="379"/>
      <c r="V301" s="380">
        <v>7800</v>
      </c>
      <c r="W301" s="380"/>
      <c r="X301" s="380"/>
      <c r="Y301" s="380"/>
      <c r="Z301" s="380">
        <v>7800</v>
      </c>
      <c r="AA301" s="380"/>
      <c r="AB301" s="380"/>
      <c r="AC301" s="380"/>
      <c r="AD301" s="380">
        <v>7840</v>
      </c>
      <c r="AE301" s="380"/>
      <c r="AF301" s="380">
        <v>7840</v>
      </c>
      <c r="AG301" s="380"/>
    </row>
    <row r="302" spans="1:33" ht="12.75">
      <c r="A302" s="381">
        <v>98193</v>
      </c>
      <c r="B302" s="381"/>
      <c r="C302" s="381"/>
      <c r="D302" s="381"/>
      <c r="E302" s="382">
        <v>4111</v>
      </c>
      <c r="F302" s="382"/>
      <c r="G302" s="382"/>
      <c r="H302" s="383" t="s">
        <v>2303</v>
      </c>
      <c r="I302" s="383"/>
      <c r="J302" s="383"/>
      <c r="K302" s="383"/>
      <c r="L302" s="383"/>
      <c r="M302" s="383"/>
      <c r="N302" s="383"/>
      <c r="O302" s="383"/>
      <c r="P302" s="383"/>
      <c r="Q302" s="383"/>
      <c r="R302" s="383"/>
      <c r="S302" s="383"/>
      <c r="T302" s="383"/>
      <c r="U302" s="383"/>
      <c r="V302" s="384">
        <v>256000</v>
      </c>
      <c r="W302" s="384"/>
      <c r="X302" s="384"/>
      <c r="Y302" s="384"/>
      <c r="Z302" s="385" t="s">
        <v>2297</v>
      </c>
      <c r="AA302" s="385"/>
      <c r="AB302" s="385"/>
      <c r="AC302" s="385"/>
      <c r="AD302" s="384">
        <v>256000</v>
      </c>
      <c r="AE302" s="384"/>
      <c r="AF302" s="385" t="s">
        <v>2297</v>
      </c>
      <c r="AG302" s="385"/>
    </row>
    <row r="303" spans="1:33" ht="12.75">
      <c r="A303" s="374">
        <v>98193</v>
      </c>
      <c r="B303" s="374"/>
      <c r="C303" s="374"/>
      <c r="D303" s="374"/>
      <c r="E303" s="375">
        <v>5021</v>
      </c>
      <c r="F303" s="375"/>
      <c r="G303" s="375"/>
      <c r="H303" s="371" t="s">
        <v>1812</v>
      </c>
      <c r="I303" s="371"/>
      <c r="J303" s="371"/>
      <c r="K303" s="371"/>
      <c r="L303" s="371"/>
      <c r="M303" s="371"/>
      <c r="N303" s="371"/>
      <c r="O303" s="371"/>
      <c r="P303" s="371"/>
      <c r="Q303" s="371"/>
      <c r="R303" s="371"/>
      <c r="S303" s="371"/>
      <c r="T303" s="371"/>
      <c r="U303" s="371"/>
      <c r="V303" s="377" t="s">
        <v>2297</v>
      </c>
      <c r="W303" s="377"/>
      <c r="X303" s="377"/>
      <c r="Y303" s="377"/>
      <c r="Z303" s="376">
        <v>106800</v>
      </c>
      <c r="AA303" s="376"/>
      <c r="AB303" s="376"/>
      <c r="AC303" s="376"/>
      <c r="AD303" s="377" t="s">
        <v>2297</v>
      </c>
      <c r="AE303" s="377"/>
      <c r="AF303" s="376">
        <v>106703</v>
      </c>
      <c r="AG303" s="376"/>
    </row>
    <row r="304" spans="1:33" ht="12.75">
      <c r="A304" s="374">
        <v>98193</v>
      </c>
      <c r="B304" s="374"/>
      <c r="C304" s="374"/>
      <c r="D304" s="374"/>
      <c r="E304" s="375">
        <v>5139</v>
      </c>
      <c r="F304" s="375"/>
      <c r="G304" s="375"/>
      <c r="H304" s="371" t="s">
        <v>2304</v>
      </c>
      <c r="I304" s="371"/>
      <c r="J304" s="371"/>
      <c r="K304" s="371"/>
      <c r="L304" s="371"/>
      <c r="M304" s="371"/>
      <c r="N304" s="371"/>
      <c r="O304" s="371"/>
      <c r="P304" s="371"/>
      <c r="Q304" s="371"/>
      <c r="R304" s="371"/>
      <c r="S304" s="371"/>
      <c r="T304" s="371"/>
      <c r="U304" s="371"/>
      <c r="V304" s="377" t="s">
        <v>2297</v>
      </c>
      <c r="W304" s="377"/>
      <c r="X304" s="377"/>
      <c r="Y304" s="377"/>
      <c r="Z304" s="376">
        <v>2000</v>
      </c>
      <c r="AA304" s="376"/>
      <c r="AB304" s="376"/>
      <c r="AC304" s="376"/>
      <c r="AD304" s="377" t="s">
        <v>2297</v>
      </c>
      <c r="AE304" s="377"/>
      <c r="AF304" s="376">
        <v>8844</v>
      </c>
      <c r="AG304" s="376"/>
    </row>
    <row r="305" spans="1:33" ht="12.75">
      <c r="A305" s="374">
        <v>98193</v>
      </c>
      <c r="B305" s="374"/>
      <c r="C305" s="374"/>
      <c r="D305" s="374"/>
      <c r="E305" s="375">
        <v>5162</v>
      </c>
      <c r="F305" s="375"/>
      <c r="G305" s="375"/>
      <c r="H305" s="371" t="s">
        <v>1906</v>
      </c>
      <c r="I305" s="371"/>
      <c r="J305" s="371"/>
      <c r="K305" s="371"/>
      <c r="L305" s="371"/>
      <c r="M305" s="371"/>
      <c r="N305" s="371"/>
      <c r="O305" s="371"/>
      <c r="P305" s="371"/>
      <c r="Q305" s="371"/>
      <c r="R305" s="371"/>
      <c r="S305" s="371"/>
      <c r="T305" s="371"/>
      <c r="U305" s="371"/>
      <c r="V305" s="377" t="s">
        <v>2297</v>
      </c>
      <c r="W305" s="377"/>
      <c r="X305" s="377"/>
      <c r="Y305" s="377"/>
      <c r="Z305" s="376">
        <v>0</v>
      </c>
      <c r="AA305" s="376"/>
      <c r="AB305" s="376"/>
      <c r="AC305" s="376"/>
      <c r="AD305" s="377" t="s">
        <v>2297</v>
      </c>
      <c r="AE305" s="377"/>
      <c r="AF305" s="376">
        <v>12825.6</v>
      </c>
      <c r="AG305" s="376"/>
    </row>
    <row r="306" spans="1:33" ht="12.75">
      <c r="A306" s="374">
        <v>98193</v>
      </c>
      <c r="B306" s="374"/>
      <c r="C306" s="374"/>
      <c r="D306" s="374"/>
      <c r="E306" s="375">
        <v>5164</v>
      </c>
      <c r="F306" s="375"/>
      <c r="G306" s="375"/>
      <c r="H306" s="371" t="s">
        <v>1916</v>
      </c>
      <c r="I306" s="371"/>
      <c r="J306" s="371"/>
      <c r="K306" s="371"/>
      <c r="L306" s="371"/>
      <c r="M306" s="371"/>
      <c r="N306" s="371"/>
      <c r="O306" s="371"/>
      <c r="P306" s="371"/>
      <c r="Q306" s="371"/>
      <c r="R306" s="371"/>
      <c r="S306" s="371"/>
      <c r="T306" s="371"/>
      <c r="U306" s="371"/>
      <c r="V306" s="377" t="s">
        <v>2297</v>
      </c>
      <c r="W306" s="377"/>
      <c r="X306" s="377"/>
      <c r="Y306" s="377"/>
      <c r="Z306" s="376">
        <v>30100</v>
      </c>
      <c r="AA306" s="376"/>
      <c r="AB306" s="376"/>
      <c r="AC306" s="376"/>
      <c r="AD306" s="377" t="s">
        <v>2297</v>
      </c>
      <c r="AE306" s="377"/>
      <c r="AF306" s="376">
        <v>30079.6</v>
      </c>
      <c r="AG306" s="376"/>
    </row>
    <row r="307" spans="1:33" ht="12.75">
      <c r="A307" s="374">
        <v>98193</v>
      </c>
      <c r="B307" s="374"/>
      <c r="C307" s="374"/>
      <c r="D307" s="374"/>
      <c r="E307" s="375">
        <v>5169</v>
      </c>
      <c r="F307" s="375"/>
      <c r="G307" s="375"/>
      <c r="H307" s="371" t="s">
        <v>1931</v>
      </c>
      <c r="I307" s="371"/>
      <c r="J307" s="371"/>
      <c r="K307" s="371"/>
      <c r="L307" s="371"/>
      <c r="M307" s="371"/>
      <c r="N307" s="371"/>
      <c r="O307" s="371"/>
      <c r="P307" s="371"/>
      <c r="Q307" s="371"/>
      <c r="R307" s="371"/>
      <c r="S307" s="371"/>
      <c r="T307" s="371"/>
      <c r="U307" s="371"/>
      <c r="V307" s="377" t="s">
        <v>2297</v>
      </c>
      <c r="W307" s="377"/>
      <c r="X307" s="377"/>
      <c r="Y307" s="377"/>
      <c r="Z307" s="376">
        <v>117100</v>
      </c>
      <c r="AA307" s="376"/>
      <c r="AB307" s="376"/>
      <c r="AC307" s="376"/>
      <c r="AD307" s="377" t="s">
        <v>2297</v>
      </c>
      <c r="AE307" s="377"/>
      <c r="AF307" s="376">
        <v>107320.4</v>
      </c>
      <c r="AG307" s="376"/>
    </row>
    <row r="308" spans="1:33" ht="13.5" thickBot="1">
      <c r="A308" s="378">
        <v>98193</v>
      </c>
      <c r="B308" s="378"/>
      <c r="C308" s="378"/>
      <c r="D308" s="378"/>
      <c r="E308" s="379" t="s">
        <v>2306</v>
      </c>
      <c r="F308" s="379"/>
      <c r="G308" s="379"/>
      <c r="H308" s="379"/>
      <c r="I308" s="379"/>
      <c r="J308" s="379"/>
      <c r="K308" s="379"/>
      <c r="L308" s="379"/>
      <c r="M308" s="379"/>
      <c r="N308" s="379"/>
      <c r="O308" s="379"/>
      <c r="P308" s="379"/>
      <c r="Q308" s="379"/>
      <c r="R308" s="379"/>
      <c r="S308" s="379"/>
      <c r="T308" s="379"/>
      <c r="U308" s="379"/>
      <c r="V308" s="380">
        <v>256000</v>
      </c>
      <c r="W308" s="380"/>
      <c r="X308" s="380"/>
      <c r="Y308" s="380"/>
      <c r="Z308" s="380">
        <v>256000</v>
      </c>
      <c r="AA308" s="380"/>
      <c r="AB308" s="380"/>
      <c r="AC308" s="380"/>
      <c r="AD308" s="380">
        <v>256000</v>
      </c>
      <c r="AE308" s="380"/>
      <c r="AF308" s="380">
        <v>265772.6</v>
      </c>
      <c r="AG308" s="380"/>
    </row>
    <row r="309" spans="1:33" ht="12.75">
      <c r="A309" s="381">
        <v>98216</v>
      </c>
      <c r="B309" s="381"/>
      <c r="C309" s="381"/>
      <c r="D309" s="381"/>
      <c r="E309" s="382">
        <v>4111</v>
      </c>
      <c r="F309" s="382"/>
      <c r="G309" s="382"/>
      <c r="H309" s="383" t="s">
        <v>2303</v>
      </c>
      <c r="I309" s="383"/>
      <c r="J309" s="383"/>
      <c r="K309" s="383"/>
      <c r="L309" s="383"/>
      <c r="M309" s="383"/>
      <c r="N309" s="383"/>
      <c r="O309" s="383"/>
      <c r="P309" s="383"/>
      <c r="Q309" s="383"/>
      <c r="R309" s="383"/>
      <c r="S309" s="383"/>
      <c r="T309" s="383"/>
      <c r="U309" s="383"/>
      <c r="V309" s="384">
        <v>1634400</v>
      </c>
      <c r="W309" s="384"/>
      <c r="X309" s="384"/>
      <c r="Y309" s="384"/>
      <c r="Z309" s="385" t="s">
        <v>2297</v>
      </c>
      <c r="AA309" s="385"/>
      <c r="AB309" s="385"/>
      <c r="AC309" s="385"/>
      <c r="AD309" s="384">
        <v>1634351</v>
      </c>
      <c r="AE309" s="384"/>
      <c r="AF309" s="385" t="s">
        <v>2297</v>
      </c>
      <c r="AG309" s="385"/>
    </row>
    <row r="310" spans="1:33" ht="12.75">
      <c r="A310" s="374">
        <v>98216</v>
      </c>
      <c r="B310" s="374"/>
      <c r="C310" s="374"/>
      <c r="D310" s="374"/>
      <c r="E310" s="375">
        <v>5011</v>
      </c>
      <c r="F310" s="375"/>
      <c r="G310" s="375"/>
      <c r="H310" s="371" t="s">
        <v>1805</v>
      </c>
      <c r="I310" s="371"/>
      <c r="J310" s="371"/>
      <c r="K310" s="371"/>
      <c r="L310" s="371"/>
      <c r="M310" s="371"/>
      <c r="N310" s="371"/>
      <c r="O310" s="371"/>
      <c r="P310" s="371"/>
      <c r="Q310" s="371"/>
      <c r="R310" s="371"/>
      <c r="S310" s="371"/>
      <c r="T310" s="371"/>
      <c r="U310" s="371"/>
      <c r="V310" s="377" t="s">
        <v>2297</v>
      </c>
      <c r="W310" s="377"/>
      <c r="X310" s="377"/>
      <c r="Y310" s="377"/>
      <c r="Z310" s="376">
        <v>1184000</v>
      </c>
      <c r="AA310" s="376"/>
      <c r="AB310" s="376"/>
      <c r="AC310" s="376"/>
      <c r="AD310" s="377" t="s">
        <v>2297</v>
      </c>
      <c r="AE310" s="377"/>
      <c r="AF310" s="376">
        <v>1268867</v>
      </c>
      <c r="AG310" s="376"/>
    </row>
    <row r="311" spans="1:33" ht="12.75">
      <c r="A311" s="374">
        <v>98216</v>
      </c>
      <c r="B311" s="374"/>
      <c r="C311" s="374"/>
      <c r="D311" s="374"/>
      <c r="E311" s="375">
        <v>5031</v>
      </c>
      <c r="F311" s="375"/>
      <c r="G311" s="375"/>
      <c r="H311" s="371" t="s">
        <v>2299</v>
      </c>
      <c r="I311" s="371"/>
      <c r="J311" s="371"/>
      <c r="K311" s="371"/>
      <c r="L311" s="371"/>
      <c r="M311" s="371"/>
      <c r="N311" s="371"/>
      <c r="O311" s="371"/>
      <c r="P311" s="371"/>
      <c r="Q311" s="371"/>
      <c r="R311" s="371"/>
      <c r="S311" s="371"/>
      <c r="T311" s="371"/>
      <c r="U311" s="371"/>
      <c r="V311" s="377" t="s">
        <v>2297</v>
      </c>
      <c r="W311" s="377"/>
      <c r="X311" s="377"/>
      <c r="Y311" s="377"/>
      <c r="Z311" s="376">
        <v>296000</v>
      </c>
      <c r="AA311" s="376"/>
      <c r="AB311" s="376"/>
      <c r="AC311" s="376"/>
      <c r="AD311" s="377" t="s">
        <v>2297</v>
      </c>
      <c r="AE311" s="377"/>
      <c r="AF311" s="376">
        <v>317179</v>
      </c>
      <c r="AG311" s="376"/>
    </row>
    <row r="312" spans="1:33" ht="12.75">
      <c r="A312" s="374">
        <v>98216</v>
      </c>
      <c r="B312" s="374"/>
      <c r="C312" s="374"/>
      <c r="D312" s="374"/>
      <c r="E312" s="375">
        <v>5032</v>
      </c>
      <c r="F312" s="375"/>
      <c r="G312" s="375"/>
      <c r="H312" s="371" t="s">
        <v>2300</v>
      </c>
      <c r="I312" s="371"/>
      <c r="J312" s="371"/>
      <c r="K312" s="371"/>
      <c r="L312" s="371"/>
      <c r="M312" s="371"/>
      <c r="N312" s="371"/>
      <c r="O312" s="371"/>
      <c r="P312" s="371"/>
      <c r="Q312" s="371"/>
      <c r="R312" s="371"/>
      <c r="S312" s="371"/>
      <c r="T312" s="371"/>
      <c r="U312" s="371"/>
      <c r="V312" s="377" t="s">
        <v>2297</v>
      </c>
      <c r="W312" s="377"/>
      <c r="X312" s="377"/>
      <c r="Y312" s="377"/>
      <c r="Z312" s="376">
        <v>106700</v>
      </c>
      <c r="AA312" s="376"/>
      <c r="AB312" s="376"/>
      <c r="AC312" s="376"/>
      <c r="AD312" s="377" t="s">
        <v>2297</v>
      </c>
      <c r="AE312" s="377"/>
      <c r="AF312" s="376">
        <v>114252</v>
      </c>
      <c r="AG312" s="376"/>
    </row>
    <row r="313" spans="1:33" ht="12.75">
      <c r="A313" s="374">
        <v>98216</v>
      </c>
      <c r="B313" s="374"/>
      <c r="C313" s="374"/>
      <c r="D313" s="374"/>
      <c r="E313" s="375">
        <v>5038</v>
      </c>
      <c r="F313" s="375"/>
      <c r="G313" s="375"/>
      <c r="H313" s="371" t="s">
        <v>1836</v>
      </c>
      <c r="I313" s="371"/>
      <c r="J313" s="371"/>
      <c r="K313" s="371"/>
      <c r="L313" s="371"/>
      <c r="M313" s="371"/>
      <c r="N313" s="371"/>
      <c r="O313" s="371"/>
      <c r="P313" s="371"/>
      <c r="Q313" s="371"/>
      <c r="R313" s="371"/>
      <c r="S313" s="371"/>
      <c r="T313" s="371"/>
      <c r="U313" s="371"/>
      <c r="V313" s="377" t="s">
        <v>2297</v>
      </c>
      <c r="W313" s="377"/>
      <c r="X313" s="377"/>
      <c r="Y313" s="377"/>
      <c r="Z313" s="376">
        <v>4000</v>
      </c>
      <c r="AA313" s="376"/>
      <c r="AB313" s="376"/>
      <c r="AC313" s="376"/>
      <c r="AD313" s="377" t="s">
        <v>2297</v>
      </c>
      <c r="AE313" s="377"/>
      <c r="AF313" s="376">
        <v>5240.37</v>
      </c>
      <c r="AG313" s="376"/>
    </row>
    <row r="314" spans="1:33" ht="12.75">
      <c r="A314" s="374">
        <v>98216</v>
      </c>
      <c r="B314" s="374"/>
      <c r="C314" s="374"/>
      <c r="D314" s="374"/>
      <c r="E314" s="375">
        <v>5136</v>
      </c>
      <c r="F314" s="375"/>
      <c r="G314" s="375"/>
      <c r="H314" s="371" t="s">
        <v>1856</v>
      </c>
      <c r="I314" s="371"/>
      <c r="J314" s="371"/>
      <c r="K314" s="371"/>
      <c r="L314" s="371"/>
      <c r="M314" s="371"/>
      <c r="N314" s="371"/>
      <c r="O314" s="371"/>
      <c r="P314" s="371"/>
      <c r="Q314" s="371"/>
      <c r="R314" s="371"/>
      <c r="S314" s="371"/>
      <c r="T314" s="371"/>
      <c r="U314" s="371"/>
      <c r="V314" s="377" t="s">
        <v>2297</v>
      </c>
      <c r="W314" s="377"/>
      <c r="X314" s="377"/>
      <c r="Y314" s="377"/>
      <c r="Z314" s="376">
        <v>0</v>
      </c>
      <c r="AA314" s="376"/>
      <c r="AB314" s="376"/>
      <c r="AC314" s="376"/>
      <c r="AD314" s="377" t="s">
        <v>2297</v>
      </c>
      <c r="AE314" s="377"/>
      <c r="AF314" s="376">
        <v>5743.67</v>
      </c>
      <c r="AG314" s="376"/>
    </row>
    <row r="315" spans="1:33" ht="12.75">
      <c r="A315" s="374">
        <v>98216</v>
      </c>
      <c r="B315" s="374"/>
      <c r="C315" s="374"/>
      <c r="D315" s="374"/>
      <c r="E315" s="375">
        <v>5139</v>
      </c>
      <c r="F315" s="375"/>
      <c r="G315" s="375"/>
      <c r="H315" s="371" t="s">
        <v>2304</v>
      </c>
      <c r="I315" s="371"/>
      <c r="J315" s="371"/>
      <c r="K315" s="371"/>
      <c r="L315" s="371"/>
      <c r="M315" s="371"/>
      <c r="N315" s="371"/>
      <c r="O315" s="371"/>
      <c r="P315" s="371"/>
      <c r="Q315" s="371"/>
      <c r="R315" s="371"/>
      <c r="S315" s="371"/>
      <c r="T315" s="371"/>
      <c r="U315" s="371"/>
      <c r="V315" s="377" t="s">
        <v>2297</v>
      </c>
      <c r="W315" s="377"/>
      <c r="X315" s="377"/>
      <c r="Y315" s="377"/>
      <c r="Z315" s="376">
        <v>0</v>
      </c>
      <c r="AA315" s="376"/>
      <c r="AB315" s="376"/>
      <c r="AC315" s="376"/>
      <c r="AD315" s="377" t="s">
        <v>2297</v>
      </c>
      <c r="AE315" s="377"/>
      <c r="AF315" s="376">
        <v>4525.33</v>
      </c>
      <c r="AG315" s="376"/>
    </row>
    <row r="316" spans="1:33" ht="12.75">
      <c r="A316" s="374">
        <v>98216</v>
      </c>
      <c r="B316" s="374"/>
      <c r="C316" s="374"/>
      <c r="D316" s="374"/>
      <c r="E316" s="375">
        <v>5151</v>
      </c>
      <c r="F316" s="375"/>
      <c r="G316" s="375"/>
      <c r="H316" s="371" t="s">
        <v>1876</v>
      </c>
      <c r="I316" s="371"/>
      <c r="J316" s="371"/>
      <c r="K316" s="371"/>
      <c r="L316" s="371"/>
      <c r="M316" s="371"/>
      <c r="N316" s="371"/>
      <c r="O316" s="371"/>
      <c r="P316" s="371"/>
      <c r="Q316" s="371"/>
      <c r="R316" s="371"/>
      <c r="S316" s="371"/>
      <c r="T316" s="371"/>
      <c r="U316" s="371"/>
      <c r="V316" s="377" t="s">
        <v>2297</v>
      </c>
      <c r="W316" s="377"/>
      <c r="X316" s="377"/>
      <c r="Y316" s="377"/>
      <c r="Z316" s="376">
        <v>0</v>
      </c>
      <c r="AA316" s="376"/>
      <c r="AB316" s="376"/>
      <c r="AC316" s="376"/>
      <c r="AD316" s="377" t="s">
        <v>2297</v>
      </c>
      <c r="AE316" s="377"/>
      <c r="AF316" s="376">
        <v>1757</v>
      </c>
      <c r="AG316" s="376"/>
    </row>
    <row r="317" spans="1:33" ht="12.75">
      <c r="A317" s="374">
        <v>98216</v>
      </c>
      <c r="B317" s="374"/>
      <c r="C317" s="374"/>
      <c r="D317" s="374"/>
      <c r="E317" s="375">
        <v>5152</v>
      </c>
      <c r="F317" s="375"/>
      <c r="G317" s="375"/>
      <c r="H317" s="371" t="s">
        <v>1881</v>
      </c>
      <c r="I317" s="371"/>
      <c r="J317" s="371"/>
      <c r="K317" s="371"/>
      <c r="L317" s="371"/>
      <c r="M317" s="371"/>
      <c r="N317" s="371"/>
      <c r="O317" s="371"/>
      <c r="P317" s="371"/>
      <c r="Q317" s="371"/>
      <c r="R317" s="371"/>
      <c r="S317" s="371"/>
      <c r="T317" s="371"/>
      <c r="U317" s="371"/>
      <c r="V317" s="377" t="s">
        <v>2297</v>
      </c>
      <c r="W317" s="377"/>
      <c r="X317" s="377"/>
      <c r="Y317" s="377"/>
      <c r="Z317" s="376">
        <v>0</v>
      </c>
      <c r="AA317" s="376"/>
      <c r="AB317" s="376"/>
      <c r="AC317" s="376"/>
      <c r="AD317" s="377" t="s">
        <v>2297</v>
      </c>
      <c r="AE317" s="377"/>
      <c r="AF317" s="376">
        <v>27750</v>
      </c>
      <c r="AG317" s="376"/>
    </row>
    <row r="318" spans="1:33" ht="12.75">
      <c r="A318" s="374">
        <v>98216</v>
      </c>
      <c r="B318" s="374"/>
      <c r="C318" s="374"/>
      <c r="D318" s="374"/>
      <c r="E318" s="375">
        <v>5154</v>
      </c>
      <c r="F318" s="375"/>
      <c r="G318" s="375"/>
      <c r="H318" s="371" t="s">
        <v>1886</v>
      </c>
      <c r="I318" s="371"/>
      <c r="J318" s="371"/>
      <c r="K318" s="371"/>
      <c r="L318" s="371"/>
      <c r="M318" s="371"/>
      <c r="N318" s="371"/>
      <c r="O318" s="371"/>
      <c r="P318" s="371"/>
      <c r="Q318" s="371"/>
      <c r="R318" s="371"/>
      <c r="S318" s="371"/>
      <c r="T318" s="371"/>
      <c r="U318" s="371"/>
      <c r="V318" s="377" t="s">
        <v>2297</v>
      </c>
      <c r="W318" s="377"/>
      <c r="X318" s="377"/>
      <c r="Y318" s="377"/>
      <c r="Z318" s="376">
        <v>0</v>
      </c>
      <c r="AA318" s="376"/>
      <c r="AB318" s="376"/>
      <c r="AC318" s="376"/>
      <c r="AD318" s="377" t="s">
        <v>2297</v>
      </c>
      <c r="AE318" s="377"/>
      <c r="AF318" s="376">
        <v>30030</v>
      </c>
      <c r="AG318" s="376"/>
    </row>
    <row r="319" spans="1:33" ht="12.75">
      <c r="A319" s="374">
        <v>98216</v>
      </c>
      <c r="B319" s="374"/>
      <c r="C319" s="374"/>
      <c r="D319" s="374"/>
      <c r="E319" s="375">
        <v>5156</v>
      </c>
      <c r="F319" s="375"/>
      <c r="G319" s="375"/>
      <c r="H319" s="371" t="s">
        <v>1891</v>
      </c>
      <c r="I319" s="371"/>
      <c r="J319" s="371"/>
      <c r="K319" s="371"/>
      <c r="L319" s="371"/>
      <c r="M319" s="371"/>
      <c r="N319" s="371"/>
      <c r="O319" s="371"/>
      <c r="P319" s="371"/>
      <c r="Q319" s="371"/>
      <c r="R319" s="371"/>
      <c r="S319" s="371"/>
      <c r="T319" s="371"/>
      <c r="U319" s="371"/>
      <c r="V319" s="377" t="s">
        <v>2297</v>
      </c>
      <c r="W319" s="377"/>
      <c r="X319" s="377"/>
      <c r="Y319" s="377"/>
      <c r="Z319" s="376">
        <v>0</v>
      </c>
      <c r="AA319" s="376"/>
      <c r="AB319" s="376"/>
      <c r="AC319" s="376"/>
      <c r="AD319" s="377" t="s">
        <v>2297</v>
      </c>
      <c r="AE319" s="377"/>
      <c r="AF319" s="376">
        <v>7498.22</v>
      </c>
      <c r="AG319" s="376"/>
    </row>
    <row r="320" spans="1:33" ht="12.75">
      <c r="A320" s="374">
        <v>98216</v>
      </c>
      <c r="B320" s="374"/>
      <c r="C320" s="374"/>
      <c r="D320" s="374"/>
      <c r="E320" s="375">
        <v>5162</v>
      </c>
      <c r="F320" s="375"/>
      <c r="G320" s="375"/>
      <c r="H320" s="371" t="s">
        <v>1906</v>
      </c>
      <c r="I320" s="371"/>
      <c r="J320" s="371"/>
      <c r="K320" s="371"/>
      <c r="L320" s="371"/>
      <c r="M320" s="371"/>
      <c r="N320" s="371"/>
      <c r="O320" s="371"/>
      <c r="P320" s="371"/>
      <c r="Q320" s="371"/>
      <c r="R320" s="371"/>
      <c r="S320" s="371"/>
      <c r="T320" s="371"/>
      <c r="U320" s="371"/>
      <c r="V320" s="377" t="s">
        <v>2297</v>
      </c>
      <c r="W320" s="377"/>
      <c r="X320" s="377"/>
      <c r="Y320" s="377"/>
      <c r="Z320" s="376">
        <v>17700</v>
      </c>
      <c r="AA320" s="376"/>
      <c r="AB320" s="376"/>
      <c r="AC320" s="376"/>
      <c r="AD320" s="377" t="s">
        <v>2297</v>
      </c>
      <c r="AE320" s="377"/>
      <c r="AF320" s="376">
        <v>30380.28</v>
      </c>
      <c r="AG320" s="376"/>
    </row>
    <row r="321" spans="1:33" ht="12.75">
      <c r="A321" s="374">
        <v>98216</v>
      </c>
      <c r="B321" s="374"/>
      <c r="C321" s="374"/>
      <c r="D321" s="374"/>
      <c r="E321" s="375">
        <v>5167</v>
      </c>
      <c r="F321" s="375"/>
      <c r="G321" s="375"/>
      <c r="H321" s="371" t="s">
        <v>1926</v>
      </c>
      <c r="I321" s="371"/>
      <c r="J321" s="371"/>
      <c r="K321" s="371"/>
      <c r="L321" s="371"/>
      <c r="M321" s="371"/>
      <c r="N321" s="371"/>
      <c r="O321" s="371"/>
      <c r="P321" s="371"/>
      <c r="Q321" s="371"/>
      <c r="R321" s="371"/>
      <c r="S321" s="371"/>
      <c r="T321" s="371"/>
      <c r="U321" s="371"/>
      <c r="V321" s="377" t="s">
        <v>2297</v>
      </c>
      <c r="W321" s="377"/>
      <c r="X321" s="377"/>
      <c r="Y321" s="377"/>
      <c r="Z321" s="376">
        <v>8000</v>
      </c>
      <c r="AA321" s="376"/>
      <c r="AB321" s="376"/>
      <c r="AC321" s="376"/>
      <c r="AD321" s="377" t="s">
        <v>2297</v>
      </c>
      <c r="AE321" s="377"/>
      <c r="AF321" s="376">
        <v>13230</v>
      </c>
      <c r="AG321" s="376"/>
    </row>
    <row r="322" spans="1:33" ht="12.75">
      <c r="A322" s="374">
        <v>98216</v>
      </c>
      <c r="B322" s="374"/>
      <c r="C322" s="374"/>
      <c r="D322" s="374"/>
      <c r="E322" s="375">
        <v>5169</v>
      </c>
      <c r="F322" s="375"/>
      <c r="G322" s="375"/>
      <c r="H322" s="371" t="s">
        <v>1931</v>
      </c>
      <c r="I322" s="371"/>
      <c r="J322" s="371"/>
      <c r="K322" s="371"/>
      <c r="L322" s="371"/>
      <c r="M322" s="371"/>
      <c r="N322" s="371"/>
      <c r="O322" s="371"/>
      <c r="P322" s="371"/>
      <c r="Q322" s="371"/>
      <c r="R322" s="371"/>
      <c r="S322" s="371"/>
      <c r="T322" s="371"/>
      <c r="U322" s="371"/>
      <c r="V322" s="377" t="s">
        <v>2297</v>
      </c>
      <c r="W322" s="377"/>
      <c r="X322" s="377"/>
      <c r="Y322" s="377"/>
      <c r="Z322" s="376">
        <v>0</v>
      </c>
      <c r="AA322" s="376"/>
      <c r="AB322" s="376"/>
      <c r="AC322" s="376"/>
      <c r="AD322" s="377" t="s">
        <v>2297</v>
      </c>
      <c r="AE322" s="377"/>
      <c r="AF322" s="376">
        <v>0</v>
      </c>
      <c r="AG322" s="376"/>
    </row>
    <row r="323" spans="1:33" ht="12.75">
      <c r="A323" s="374">
        <v>98216</v>
      </c>
      <c r="B323" s="374"/>
      <c r="C323" s="374"/>
      <c r="D323" s="374"/>
      <c r="E323" s="375">
        <v>5171</v>
      </c>
      <c r="F323" s="375"/>
      <c r="G323" s="375"/>
      <c r="H323" s="371" t="s">
        <v>1941</v>
      </c>
      <c r="I323" s="371"/>
      <c r="J323" s="371"/>
      <c r="K323" s="371"/>
      <c r="L323" s="371"/>
      <c r="M323" s="371"/>
      <c r="N323" s="371"/>
      <c r="O323" s="371"/>
      <c r="P323" s="371"/>
      <c r="Q323" s="371"/>
      <c r="R323" s="371"/>
      <c r="S323" s="371"/>
      <c r="T323" s="371"/>
      <c r="U323" s="371"/>
      <c r="V323" s="377" t="s">
        <v>2297</v>
      </c>
      <c r="W323" s="377"/>
      <c r="X323" s="377"/>
      <c r="Y323" s="377"/>
      <c r="Z323" s="376">
        <v>0</v>
      </c>
      <c r="AA323" s="376"/>
      <c r="AB323" s="376"/>
      <c r="AC323" s="376"/>
      <c r="AD323" s="377" t="s">
        <v>2297</v>
      </c>
      <c r="AE323" s="377"/>
      <c r="AF323" s="376">
        <v>0</v>
      </c>
      <c r="AG323" s="376"/>
    </row>
    <row r="324" spans="1:33" ht="12.75">
      <c r="A324" s="374">
        <v>98216</v>
      </c>
      <c r="B324" s="374"/>
      <c r="C324" s="374"/>
      <c r="D324" s="374"/>
      <c r="E324" s="375">
        <v>5173</v>
      </c>
      <c r="F324" s="375"/>
      <c r="G324" s="375"/>
      <c r="H324" s="371" t="s">
        <v>2307</v>
      </c>
      <c r="I324" s="371"/>
      <c r="J324" s="371"/>
      <c r="K324" s="371"/>
      <c r="L324" s="371"/>
      <c r="M324" s="371"/>
      <c r="N324" s="371"/>
      <c r="O324" s="371"/>
      <c r="P324" s="371"/>
      <c r="Q324" s="371"/>
      <c r="R324" s="371"/>
      <c r="S324" s="371"/>
      <c r="T324" s="371"/>
      <c r="U324" s="371"/>
      <c r="V324" s="377" t="s">
        <v>2297</v>
      </c>
      <c r="W324" s="377"/>
      <c r="X324" s="377"/>
      <c r="Y324" s="377"/>
      <c r="Z324" s="376">
        <v>18000</v>
      </c>
      <c r="AA324" s="376"/>
      <c r="AB324" s="376"/>
      <c r="AC324" s="376"/>
      <c r="AD324" s="377" t="s">
        <v>2297</v>
      </c>
      <c r="AE324" s="377"/>
      <c r="AF324" s="376">
        <v>19682</v>
      </c>
      <c r="AG324" s="376"/>
    </row>
    <row r="325" spans="1:33" ht="13.5" thickBot="1">
      <c r="A325" s="378">
        <v>98216</v>
      </c>
      <c r="B325" s="378"/>
      <c r="C325" s="378"/>
      <c r="D325" s="378"/>
      <c r="E325" s="379" t="s">
        <v>2308</v>
      </c>
      <c r="F325" s="379"/>
      <c r="G325" s="379"/>
      <c r="H325" s="379"/>
      <c r="I325" s="379"/>
      <c r="J325" s="379"/>
      <c r="K325" s="379"/>
      <c r="L325" s="379"/>
      <c r="M325" s="379"/>
      <c r="N325" s="379"/>
      <c r="O325" s="379"/>
      <c r="P325" s="379"/>
      <c r="Q325" s="379"/>
      <c r="R325" s="379"/>
      <c r="S325" s="379"/>
      <c r="T325" s="379"/>
      <c r="U325" s="379"/>
      <c r="V325" s="380">
        <v>1634400</v>
      </c>
      <c r="W325" s="380"/>
      <c r="X325" s="380"/>
      <c r="Y325" s="380"/>
      <c r="Z325" s="380">
        <v>1634400</v>
      </c>
      <c r="AA325" s="380"/>
      <c r="AB325" s="380"/>
      <c r="AC325" s="380"/>
      <c r="AD325" s="380">
        <v>1634351</v>
      </c>
      <c r="AE325" s="380"/>
      <c r="AF325" s="380">
        <v>1846134.87</v>
      </c>
      <c r="AG325" s="380"/>
    </row>
    <row r="326" spans="1:33" ht="15.75" customHeight="1">
      <c r="A326" s="386" t="s">
        <v>2309</v>
      </c>
      <c r="B326" s="386"/>
      <c r="C326" s="386"/>
      <c r="D326" s="386"/>
      <c r="E326" s="386"/>
      <c r="F326" s="386"/>
      <c r="G326" s="386"/>
      <c r="H326" s="386"/>
      <c r="I326" s="386"/>
      <c r="J326" s="386"/>
      <c r="K326" s="386"/>
      <c r="L326" s="386"/>
      <c r="M326" s="386"/>
      <c r="N326" s="386"/>
      <c r="O326" s="386"/>
      <c r="P326" s="386"/>
      <c r="Q326" s="386"/>
      <c r="R326" s="386"/>
      <c r="S326" s="386"/>
      <c r="T326" s="386"/>
      <c r="U326" s="386"/>
      <c r="V326" s="386"/>
      <c r="W326" s="386"/>
      <c r="X326" s="386"/>
      <c r="Y326" s="386"/>
      <c r="Z326" s="386"/>
      <c r="AA326" s="386"/>
      <c r="AB326" s="386"/>
      <c r="AC326" s="386"/>
      <c r="AD326" s="386"/>
      <c r="AE326" s="386"/>
      <c r="AF326" s="386"/>
      <c r="AG326" s="386"/>
    </row>
    <row r="327" spans="1:33" ht="12.75">
      <c r="A327" s="387" t="s">
        <v>2310</v>
      </c>
      <c r="B327" s="387"/>
      <c r="C327" s="387"/>
      <c r="D327" s="387"/>
      <c r="E327" s="387"/>
      <c r="F327" s="387"/>
      <c r="G327" s="387"/>
      <c r="H327" s="387"/>
      <c r="I327" s="387"/>
      <c r="J327" s="387"/>
      <c r="K327" s="387"/>
      <c r="L327" s="387"/>
      <c r="M327" s="387"/>
      <c r="N327" s="387"/>
      <c r="O327" s="387"/>
      <c r="P327" s="387"/>
      <c r="Q327" s="387"/>
      <c r="R327" s="387"/>
      <c r="S327" s="387"/>
      <c r="T327" s="387"/>
      <c r="U327" s="387"/>
      <c r="V327" s="387"/>
      <c r="W327" s="387"/>
      <c r="X327" s="387"/>
      <c r="Y327" s="387"/>
      <c r="Z327" s="387"/>
      <c r="AA327" s="387"/>
      <c r="AB327" s="387"/>
      <c r="AC327" s="387"/>
      <c r="AD327" s="387"/>
      <c r="AE327" s="387"/>
      <c r="AF327" s="387"/>
      <c r="AG327" s="387"/>
    </row>
    <row r="328" spans="1:33" ht="31.5" customHeight="1">
      <c r="A328" s="386" t="s">
        <v>2311</v>
      </c>
      <c r="B328" s="386"/>
      <c r="C328" s="386"/>
      <c r="D328" s="386"/>
      <c r="E328" s="386"/>
      <c r="F328" s="386"/>
      <c r="G328" s="386"/>
      <c r="H328" s="386"/>
      <c r="I328" s="386"/>
      <c r="J328" s="386"/>
      <c r="K328" s="386"/>
      <c r="L328" s="386"/>
      <c r="M328" s="386"/>
      <c r="N328" s="386"/>
      <c r="O328" s="386"/>
      <c r="P328" s="386"/>
      <c r="Q328" s="386"/>
      <c r="R328" s="386"/>
      <c r="S328" s="386"/>
      <c r="T328" s="386"/>
      <c r="U328" s="386"/>
      <c r="V328" s="386"/>
      <c r="W328" s="386"/>
      <c r="X328" s="386"/>
      <c r="Y328" s="386"/>
      <c r="Z328" s="386"/>
      <c r="AA328" s="386"/>
      <c r="AB328" s="386"/>
      <c r="AC328" s="386"/>
      <c r="AD328" s="386"/>
      <c r="AE328" s="386"/>
      <c r="AF328" s="386"/>
      <c r="AG328" s="386"/>
    </row>
    <row r="329" spans="1:33" ht="12.75">
      <c r="A329" s="387" t="s">
        <v>2312</v>
      </c>
      <c r="B329" s="387"/>
      <c r="C329" s="387"/>
      <c r="D329" s="387"/>
      <c r="E329" s="387"/>
      <c r="F329" s="387"/>
      <c r="G329" s="387"/>
      <c r="H329" s="387"/>
      <c r="I329" s="387"/>
      <c r="J329" s="387"/>
      <c r="K329" s="387"/>
      <c r="L329" s="387"/>
      <c r="M329" s="387"/>
      <c r="N329" s="387"/>
      <c r="O329" s="387"/>
      <c r="P329" s="387"/>
      <c r="Q329" s="387"/>
      <c r="R329" s="387"/>
      <c r="S329" s="387"/>
      <c r="T329" s="387"/>
      <c r="U329" s="387"/>
      <c r="V329" s="387"/>
      <c r="W329" s="387"/>
      <c r="X329" s="387"/>
      <c r="Y329" s="387"/>
      <c r="Z329" s="387"/>
      <c r="AA329" s="387"/>
      <c r="AB329" s="387"/>
      <c r="AC329" s="387"/>
      <c r="AD329" s="387"/>
      <c r="AE329" s="387"/>
      <c r="AF329" s="387"/>
      <c r="AG329" s="387"/>
    </row>
    <row r="330" spans="1:33" ht="15.75" customHeight="1" thickBot="1">
      <c r="A330" s="386" t="s">
        <v>2313</v>
      </c>
      <c r="B330" s="386"/>
      <c r="C330" s="386"/>
      <c r="D330" s="386"/>
      <c r="E330" s="386"/>
      <c r="F330" s="386"/>
      <c r="G330" s="386"/>
      <c r="H330" s="386"/>
      <c r="I330" s="386"/>
      <c r="J330" s="386"/>
      <c r="K330" s="386"/>
      <c r="L330" s="386"/>
      <c r="M330" s="386"/>
      <c r="N330" s="386"/>
      <c r="O330" s="386"/>
      <c r="P330" s="386"/>
      <c r="Q330" s="386"/>
      <c r="R330" s="386"/>
      <c r="S330" s="386"/>
      <c r="T330" s="386"/>
      <c r="U330" s="386"/>
      <c r="V330" s="386"/>
      <c r="W330" s="386"/>
      <c r="X330" s="386"/>
      <c r="Y330" s="386"/>
      <c r="Z330" s="386"/>
      <c r="AA330" s="386"/>
      <c r="AB330" s="386"/>
      <c r="AC330" s="386"/>
      <c r="AD330" s="386"/>
      <c r="AE330" s="386"/>
      <c r="AF330" s="386"/>
      <c r="AG330" s="386"/>
    </row>
    <row r="331" spans="1:33" ht="15">
      <c r="A331" s="388"/>
      <c r="B331" s="388"/>
      <c r="C331" s="388"/>
      <c r="D331" s="388"/>
      <c r="E331" s="388"/>
      <c r="F331" s="388"/>
      <c r="G331" s="388"/>
      <c r="H331" s="388"/>
      <c r="I331" s="388"/>
      <c r="J331" s="388"/>
      <c r="K331" s="388"/>
      <c r="L331" s="388"/>
      <c r="M331" s="388"/>
      <c r="N331" s="388"/>
      <c r="O331" s="388"/>
      <c r="P331" s="388"/>
      <c r="Q331" s="388"/>
      <c r="R331" s="388"/>
      <c r="S331" s="388"/>
      <c r="T331" s="388"/>
      <c r="U331" s="388"/>
      <c r="V331" s="388"/>
      <c r="W331" s="388"/>
      <c r="X331" s="388"/>
      <c r="Y331" s="388"/>
      <c r="Z331" s="388"/>
      <c r="AA331" s="388"/>
      <c r="AB331" s="388"/>
      <c r="AC331" s="388"/>
      <c r="AD331" s="388"/>
      <c r="AE331" s="388"/>
      <c r="AF331" s="388"/>
      <c r="AG331" s="388"/>
    </row>
  </sheetData>
  <mergeCells count="1493">
    <mergeCell ref="A328:AG328"/>
    <mergeCell ref="A329:AG329"/>
    <mergeCell ref="A330:AG330"/>
    <mergeCell ref="A331:AG331"/>
    <mergeCell ref="AD325:AE325"/>
    <mergeCell ref="AF325:AG325"/>
    <mergeCell ref="A326:AG326"/>
    <mergeCell ref="A327:AG327"/>
    <mergeCell ref="A325:D325"/>
    <mergeCell ref="E325:U325"/>
    <mergeCell ref="V325:Y325"/>
    <mergeCell ref="Z325:AC325"/>
    <mergeCell ref="Z323:AC323"/>
    <mergeCell ref="AD323:AE323"/>
    <mergeCell ref="AF323:AG323"/>
    <mergeCell ref="A324:D324"/>
    <mergeCell ref="E324:G324"/>
    <mergeCell ref="H324:U324"/>
    <mergeCell ref="V324:Y324"/>
    <mergeCell ref="Z324:AC324"/>
    <mergeCell ref="AD324:AE324"/>
    <mergeCell ref="AF324:AG324"/>
    <mergeCell ref="A323:D323"/>
    <mergeCell ref="E323:G323"/>
    <mergeCell ref="H323:U323"/>
    <mergeCell ref="V323:Y323"/>
    <mergeCell ref="Z321:AC321"/>
    <mergeCell ref="AD321:AE321"/>
    <mergeCell ref="AF321:AG321"/>
    <mergeCell ref="A322:D322"/>
    <mergeCell ref="E322:G322"/>
    <mergeCell ref="H322:U322"/>
    <mergeCell ref="V322:Y322"/>
    <mergeCell ref="Z322:AC322"/>
    <mergeCell ref="AD322:AE322"/>
    <mergeCell ref="AF322:AG322"/>
    <mergeCell ref="A321:D321"/>
    <mergeCell ref="E321:G321"/>
    <mergeCell ref="H321:U321"/>
    <mergeCell ref="V321:Y321"/>
    <mergeCell ref="Z319:AC319"/>
    <mergeCell ref="AD319:AE319"/>
    <mergeCell ref="AF319:AG319"/>
    <mergeCell ref="A320:D320"/>
    <mergeCell ref="E320:G320"/>
    <mergeCell ref="H320:U320"/>
    <mergeCell ref="V320:Y320"/>
    <mergeCell ref="Z320:AC320"/>
    <mergeCell ref="AD320:AE320"/>
    <mergeCell ref="AF320:AG320"/>
    <mergeCell ref="A319:D319"/>
    <mergeCell ref="E319:G319"/>
    <mergeCell ref="H319:U319"/>
    <mergeCell ref="V319:Y319"/>
    <mergeCell ref="Z317:AC317"/>
    <mergeCell ref="AD317:AE317"/>
    <mergeCell ref="AF317:AG317"/>
    <mergeCell ref="A318:D318"/>
    <mergeCell ref="E318:G318"/>
    <mergeCell ref="H318:U318"/>
    <mergeCell ref="V318:Y318"/>
    <mergeCell ref="Z318:AC318"/>
    <mergeCell ref="AD318:AE318"/>
    <mergeCell ref="AF318:AG318"/>
    <mergeCell ref="A317:D317"/>
    <mergeCell ref="E317:G317"/>
    <mergeCell ref="H317:U317"/>
    <mergeCell ref="V317:Y317"/>
    <mergeCell ref="Z315:AC315"/>
    <mergeCell ref="AD315:AE315"/>
    <mergeCell ref="AF315:AG315"/>
    <mergeCell ref="A316:D316"/>
    <mergeCell ref="E316:G316"/>
    <mergeCell ref="H316:U316"/>
    <mergeCell ref="V316:Y316"/>
    <mergeCell ref="Z316:AC316"/>
    <mergeCell ref="AD316:AE316"/>
    <mergeCell ref="AF316:AG316"/>
    <mergeCell ref="A315:D315"/>
    <mergeCell ref="E315:G315"/>
    <mergeCell ref="H315:U315"/>
    <mergeCell ref="V315:Y315"/>
    <mergeCell ref="Z313:AC313"/>
    <mergeCell ref="AD313:AE313"/>
    <mergeCell ref="AF313:AG313"/>
    <mergeCell ref="A314:D314"/>
    <mergeCell ref="E314:G314"/>
    <mergeCell ref="H314:U314"/>
    <mergeCell ref="V314:Y314"/>
    <mergeCell ref="Z314:AC314"/>
    <mergeCell ref="AD314:AE314"/>
    <mergeCell ref="AF314:AG314"/>
    <mergeCell ref="A313:D313"/>
    <mergeCell ref="E313:G313"/>
    <mergeCell ref="H313:U313"/>
    <mergeCell ref="V313:Y313"/>
    <mergeCell ref="Z311:AC311"/>
    <mergeCell ref="AD311:AE311"/>
    <mergeCell ref="AF311:AG311"/>
    <mergeCell ref="A312:D312"/>
    <mergeCell ref="E312:G312"/>
    <mergeCell ref="H312:U312"/>
    <mergeCell ref="V312:Y312"/>
    <mergeCell ref="Z312:AC312"/>
    <mergeCell ref="AD312:AE312"/>
    <mergeCell ref="AF312:AG312"/>
    <mergeCell ref="A311:D311"/>
    <mergeCell ref="E311:G311"/>
    <mergeCell ref="H311:U311"/>
    <mergeCell ref="V311:Y311"/>
    <mergeCell ref="Z309:AC309"/>
    <mergeCell ref="AD309:AE309"/>
    <mergeCell ref="AF309:AG309"/>
    <mergeCell ref="A310:D310"/>
    <mergeCell ref="E310:G310"/>
    <mergeCell ref="H310:U310"/>
    <mergeCell ref="V310:Y310"/>
    <mergeCell ref="Z310:AC310"/>
    <mergeCell ref="AD310:AE310"/>
    <mergeCell ref="AF310:AG310"/>
    <mergeCell ref="A309:D309"/>
    <mergeCell ref="E309:G309"/>
    <mergeCell ref="H309:U309"/>
    <mergeCell ref="V309:Y309"/>
    <mergeCell ref="Z307:AC307"/>
    <mergeCell ref="AD307:AE307"/>
    <mergeCell ref="AF307:AG307"/>
    <mergeCell ref="A308:D308"/>
    <mergeCell ref="E308:U308"/>
    <mergeCell ref="V308:Y308"/>
    <mergeCell ref="Z308:AC308"/>
    <mergeCell ref="AD308:AE308"/>
    <mergeCell ref="AF308:AG308"/>
    <mergeCell ref="A307:D307"/>
    <mergeCell ref="E307:G307"/>
    <mergeCell ref="H307:U307"/>
    <mergeCell ref="V307:Y307"/>
    <mergeCell ref="Z305:AC305"/>
    <mergeCell ref="AD305:AE305"/>
    <mergeCell ref="AF305:AG305"/>
    <mergeCell ref="A306:D306"/>
    <mergeCell ref="E306:G306"/>
    <mergeCell ref="H306:U306"/>
    <mergeCell ref="V306:Y306"/>
    <mergeCell ref="Z306:AC306"/>
    <mergeCell ref="AD306:AE306"/>
    <mergeCell ref="AF306:AG306"/>
    <mergeCell ref="A305:D305"/>
    <mergeCell ref="E305:G305"/>
    <mergeCell ref="H305:U305"/>
    <mergeCell ref="V305:Y305"/>
    <mergeCell ref="Z303:AC303"/>
    <mergeCell ref="AD303:AE303"/>
    <mergeCell ref="AF303:AG303"/>
    <mergeCell ref="A304:D304"/>
    <mergeCell ref="E304:G304"/>
    <mergeCell ref="H304:U304"/>
    <mergeCell ref="V304:Y304"/>
    <mergeCell ref="Z304:AC304"/>
    <mergeCell ref="AD304:AE304"/>
    <mergeCell ref="AF304:AG304"/>
    <mergeCell ref="A303:D303"/>
    <mergeCell ref="E303:G303"/>
    <mergeCell ref="H303:U303"/>
    <mergeCell ref="V303:Y303"/>
    <mergeCell ref="AD301:AE301"/>
    <mergeCell ref="AF301:AG301"/>
    <mergeCell ref="A302:D302"/>
    <mergeCell ref="E302:G302"/>
    <mergeCell ref="H302:U302"/>
    <mergeCell ref="V302:Y302"/>
    <mergeCell ref="Z302:AC302"/>
    <mergeCell ref="AD302:AE302"/>
    <mergeCell ref="AF302:AG302"/>
    <mergeCell ref="A301:D301"/>
    <mergeCell ref="E301:U301"/>
    <mergeCell ref="V301:Y301"/>
    <mergeCell ref="Z301:AC301"/>
    <mergeCell ref="Z299:AC299"/>
    <mergeCell ref="AD299:AE299"/>
    <mergeCell ref="AF299:AG299"/>
    <mergeCell ref="A300:D300"/>
    <mergeCell ref="E300:G300"/>
    <mergeCell ref="H300:U300"/>
    <mergeCell ref="V300:Y300"/>
    <mergeCell ref="Z300:AC300"/>
    <mergeCell ref="AD300:AE300"/>
    <mergeCell ref="AF300:AG300"/>
    <mergeCell ref="A299:D299"/>
    <mergeCell ref="E299:G299"/>
    <mergeCell ref="H299:U299"/>
    <mergeCell ref="V299:Y299"/>
    <mergeCell ref="AD297:AE297"/>
    <mergeCell ref="AF297:AG297"/>
    <mergeCell ref="A298:D298"/>
    <mergeCell ref="E298:G298"/>
    <mergeCell ref="H298:U298"/>
    <mergeCell ref="V298:Y298"/>
    <mergeCell ref="Z298:AC298"/>
    <mergeCell ref="AD298:AE298"/>
    <mergeCell ref="AF298:AG298"/>
    <mergeCell ref="A297:D297"/>
    <mergeCell ref="E297:U297"/>
    <mergeCell ref="V297:Y297"/>
    <mergeCell ref="Z297:AC297"/>
    <mergeCell ref="AD295:AE295"/>
    <mergeCell ref="AF295:AG295"/>
    <mergeCell ref="A296:D296"/>
    <mergeCell ref="E296:G296"/>
    <mergeCell ref="H296:U296"/>
    <mergeCell ref="V296:Y296"/>
    <mergeCell ref="Z296:AC296"/>
    <mergeCell ref="AD296:AE296"/>
    <mergeCell ref="AF296:AG296"/>
    <mergeCell ref="A295:D295"/>
    <mergeCell ref="E295:U295"/>
    <mergeCell ref="V295:Y295"/>
    <mergeCell ref="Z295:AC295"/>
    <mergeCell ref="Z293:AC293"/>
    <mergeCell ref="AD293:AE293"/>
    <mergeCell ref="AF293:AG293"/>
    <mergeCell ref="A294:D294"/>
    <mergeCell ref="E294:G294"/>
    <mergeCell ref="H294:U294"/>
    <mergeCell ref="V294:Y294"/>
    <mergeCell ref="Z294:AC294"/>
    <mergeCell ref="AD294:AE294"/>
    <mergeCell ref="AF294:AG294"/>
    <mergeCell ref="A293:D293"/>
    <mergeCell ref="E293:G293"/>
    <mergeCell ref="H293:U293"/>
    <mergeCell ref="V293:Y293"/>
    <mergeCell ref="Z291:AC291"/>
    <mergeCell ref="AD291:AE291"/>
    <mergeCell ref="AF291:AG291"/>
    <mergeCell ref="A292:D292"/>
    <mergeCell ref="E292:G292"/>
    <mergeCell ref="H292:U292"/>
    <mergeCell ref="V292:Y292"/>
    <mergeCell ref="Z292:AC292"/>
    <mergeCell ref="AD292:AE292"/>
    <mergeCell ref="AF292:AG292"/>
    <mergeCell ref="A291:D291"/>
    <mergeCell ref="E291:G291"/>
    <mergeCell ref="H291:U291"/>
    <mergeCell ref="V291:Y291"/>
    <mergeCell ref="AD289:AE289"/>
    <mergeCell ref="AF289:AG289"/>
    <mergeCell ref="A290:D290"/>
    <mergeCell ref="E290:G290"/>
    <mergeCell ref="H290:U290"/>
    <mergeCell ref="V290:Y290"/>
    <mergeCell ref="Z290:AC290"/>
    <mergeCell ref="AD290:AE290"/>
    <mergeCell ref="AF290:AG290"/>
    <mergeCell ref="A289:D289"/>
    <mergeCell ref="E289:U289"/>
    <mergeCell ref="V289:Y289"/>
    <mergeCell ref="Z289:AC289"/>
    <mergeCell ref="Z287:AC287"/>
    <mergeCell ref="AD287:AE287"/>
    <mergeCell ref="AF287:AG287"/>
    <mergeCell ref="A288:D288"/>
    <mergeCell ref="E288:G288"/>
    <mergeCell ref="H288:U288"/>
    <mergeCell ref="V288:Y288"/>
    <mergeCell ref="Z288:AC288"/>
    <mergeCell ref="AD288:AE288"/>
    <mergeCell ref="AF288:AG288"/>
    <mergeCell ref="A287:D287"/>
    <mergeCell ref="E287:G287"/>
    <mergeCell ref="H287:U287"/>
    <mergeCell ref="V287:Y287"/>
    <mergeCell ref="AE284:AG284"/>
    <mergeCell ref="A285:AG285"/>
    <mergeCell ref="A286:D286"/>
    <mergeCell ref="E286:G286"/>
    <mergeCell ref="H286:U286"/>
    <mergeCell ref="V286:Y286"/>
    <mergeCell ref="Z286:AC286"/>
    <mergeCell ref="AD286:AE286"/>
    <mergeCell ref="AF286:AG286"/>
    <mergeCell ref="A284:D284"/>
    <mergeCell ref="E284:W284"/>
    <mergeCell ref="X284:Z284"/>
    <mergeCell ref="AA284:AD284"/>
    <mergeCell ref="AE282:AG282"/>
    <mergeCell ref="A283:D283"/>
    <mergeCell ref="E283:W283"/>
    <mergeCell ref="X283:Z283"/>
    <mergeCell ref="AA283:AD283"/>
    <mergeCell ref="AE283:AG283"/>
    <mergeCell ref="A282:D282"/>
    <mergeCell ref="E282:W282"/>
    <mergeCell ref="X282:Z282"/>
    <mergeCell ref="AA282:AD282"/>
    <mergeCell ref="AE280:AG280"/>
    <mergeCell ref="A281:D281"/>
    <mergeCell ref="E281:W281"/>
    <mergeCell ref="X281:Z281"/>
    <mergeCell ref="AA281:AD281"/>
    <mergeCell ref="AE281:AG281"/>
    <mergeCell ref="A280:D280"/>
    <mergeCell ref="E280:W280"/>
    <mergeCell ref="X280:Z280"/>
    <mergeCell ref="AA280:AD280"/>
    <mergeCell ref="A278:AG278"/>
    <mergeCell ref="A279:D279"/>
    <mergeCell ref="E279:W279"/>
    <mergeCell ref="X279:Z279"/>
    <mergeCell ref="AA279:AD279"/>
    <mergeCell ref="AE279:AG279"/>
    <mergeCell ref="B277:W277"/>
    <mergeCell ref="X277:Z277"/>
    <mergeCell ref="AA277:AD277"/>
    <mergeCell ref="AE277:AG277"/>
    <mergeCell ref="B276:W276"/>
    <mergeCell ref="X276:Z276"/>
    <mergeCell ref="AA276:AD276"/>
    <mergeCell ref="AE276:AG276"/>
    <mergeCell ref="B275:W275"/>
    <mergeCell ref="X275:Z275"/>
    <mergeCell ref="AA275:AD275"/>
    <mergeCell ref="AE275:AG275"/>
    <mergeCell ref="B274:W274"/>
    <mergeCell ref="X274:Z274"/>
    <mergeCell ref="AA274:AD274"/>
    <mergeCell ref="AE274:AG274"/>
    <mergeCell ref="B273:W273"/>
    <mergeCell ref="X273:Z273"/>
    <mergeCell ref="AA273:AD273"/>
    <mergeCell ref="AE273:AG273"/>
    <mergeCell ref="A271:AG271"/>
    <mergeCell ref="B272:W272"/>
    <mergeCell ref="X272:Z272"/>
    <mergeCell ref="AA272:AD272"/>
    <mergeCell ref="AE272:AG272"/>
    <mergeCell ref="B270:W270"/>
    <mergeCell ref="X270:Z270"/>
    <mergeCell ref="AA270:AD270"/>
    <mergeCell ref="AE270:AG270"/>
    <mergeCell ref="B269:W269"/>
    <mergeCell ref="X269:Z269"/>
    <mergeCell ref="AA269:AD269"/>
    <mergeCell ref="AE269:AG269"/>
    <mergeCell ref="B268:W268"/>
    <mergeCell ref="X268:Z268"/>
    <mergeCell ref="AA268:AD268"/>
    <mergeCell ref="AE268:AG268"/>
    <mergeCell ref="B267:W267"/>
    <mergeCell ref="X267:Z267"/>
    <mergeCell ref="AA267:AD267"/>
    <mergeCell ref="AE267:AG267"/>
    <mergeCell ref="A265:AG265"/>
    <mergeCell ref="B266:W266"/>
    <mergeCell ref="X266:Z266"/>
    <mergeCell ref="AA266:AD266"/>
    <mergeCell ref="AE266:AG266"/>
    <mergeCell ref="A264:Q264"/>
    <mergeCell ref="R264:Z264"/>
    <mergeCell ref="AA264:AD264"/>
    <mergeCell ref="AE264:AG264"/>
    <mergeCell ref="B263:W263"/>
    <mergeCell ref="X263:Z263"/>
    <mergeCell ref="AA263:AD263"/>
    <mergeCell ref="AE263:AG263"/>
    <mergeCell ref="B262:W262"/>
    <mergeCell ref="X262:Z262"/>
    <mergeCell ref="AA262:AD262"/>
    <mergeCell ref="AE262:AG262"/>
    <mergeCell ref="A260:AG260"/>
    <mergeCell ref="B261:W261"/>
    <mergeCell ref="X261:Z261"/>
    <mergeCell ref="AA261:AD261"/>
    <mergeCell ref="AE261:AG261"/>
    <mergeCell ref="B259:W259"/>
    <mergeCell ref="X259:Z259"/>
    <mergeCell ref="AA259:AD259"/>
    <mergeCell ref="AE259:AG259"/>
    <mergeCell ref="A257:AG257"/>
    <mergeCell ref="B258:W258"/>
    <mergeCell ref="X258:Z258"/>
    <mergeCell ref="AA258:AD258"/>
    <mergeCell ref="AE258:AG258"/>
    <mergeCell ref="B256:W256"/>
    <mergeCell ref="X256:Z256"/>
    <mergeCell ref="AA256:AD256"/>
    <mergeCell ref="AE256:AG256"/>
    <mergeCell ref="B255:W255"/>
    <mergeCell ref="X255:Z255"/>
    <mergeCell ref="AA255:AD255"/>
    <mergeCell ref="AE255:AG255"/>
    <mergeCell ref="B254:W254"/>
    <mergeCell ref="X254:Z254"/>
    <mergeCell ref="AA254:AD254"/>
    <mergeCell ref="AE254:AG254"/>
    <mergeCell ref="B253:W253"/>
    <mergeCell ref="X253:Z253"/>
    <mergeCell ref="AA253:AD253"/>
    <mergeCell ref="AE253:AG253"/>
    <mergeCell ref="B252:W252"/>
    <mergeCell ref="X252:Z252"/>
    <mergeCell ref="AA252:AD252"/>
    <mergeCell ref="AE252:AG252"/>
    <mergeCell ref="A250:AG250"/>
    <mergeCell ref="B251:W251"/>
    <mergeCell ref="X251:Z251"/>
    <mergeCell ref="AA251:AD251"/>
    <mergeCell ref="AE251:AG251"/>
    <mergeCell ref="B249:W249"/>
    <mergeCell ref="X249:Z249"/>
    <mergeCell ref="AA249:AD249"/>
    <mergeCell ref="AE249:AG249"/>
    <mergeCell ref="B248:W248"/>
    <mergeCell ref="X248:Z248"/>
    <mergeCell ref="AA248:AD248"/>
    <mergeCell ref="AE248:AG248"/>
    <mergeCell ref="B247:W247"/>
    <mergeCell ref="X247:Z247"/>
    <mergeCell ref="AA247:AD247"/>
    <mergeCell ref="AE247:AG247"/>
    <mergeCell ref="B246:W246"/>
    <mergeCell ref="X246:Z246"/>
    <mergeCell ref="AA246:AD246"/>
    <mergeCell ref="AE246:AG246"/>
    <mergeCell ref="A244:AG244"/>
    <mergeCell ref="B245:W245"/>
    <mergeCell ref="X245:Z245"/>
    <mergeCell ref="AA245:AD245"/>
    <mergeCell ref="AE245:AG245"/>
    <mergeCell ref="A242:AG242"/>
    <mergeCell ref="A243:Q243"/>
    <mergeCell ref="R243:Z243"/>
    <mergeCell ref="AA243:AD243"/>
    <mergeCell ref="AE243:AG243"/>
    <mergeCell ref="A241:W241"/>
    <mergeCell ref="X241:Z241"/>
    <mergeCell ref="AA241:AD241"/>
    <mergeCell ref="AE241:AG241"/>
    <mergeCell ref="A240:W240"/>
    <mergeCell ref="X240:Z240"/>
    <mergeCell ref="AA240:AD240"/>
    <mergeCell ref="AE240:AG240"/>
    <mergeCell ref="A239:W239"/>
    <mergeCell ref="X239:Z239"/>
    <mergeCell ref="AA239:AD239"/>
    <mergeCell ref="AE239:AG239"/>
    <mergeCell ref="A238:W238"/>
    <mergeCell ref="X238:Z238"/>
    <mergeCell ref="AA238:AD238"/>
    <mergeCell ref="AE238:AG238"/>
    <mergeCell ref="A237:W237"/>
    <mergeCell ref="X237:Z237"/>
    <mergeCell ref="AA237:AD237"/>
    <mergeCell ref="AE237:AG237"/>
    <mergeCell ref="A236:W236"/>
    <mergeCell ref="X236:Z236"/>
    <mergeCell ref="AA236:AD236"/>
    <mergeCell ref="AE236:AG236"/>
    <mergeCell ref="A235:W235"/>
    <mergeCell ref="X235:Z235"/>
    <mergeCell ref="AA235:AD235"/>
    <mergeCell ref="AE235:AG235"/>
    <mergeCell ref="A233:AG233"/>
    <mergeCell ref="A234:W234"/>
    <mergeCell ref="X234:Z234"/>
    <mergeCell ref="AA234:AD234"/>
    <mergeCell ref="AE234:AG234"/>
    <mergeCell ref="AE231:AG231"/>
    <mergeCell ref="A232:P232"/>
    <mergeCell ref="Q232:W232"/>
    <mergeCell ref="X232:Z232"/>
    <mergeCell ref="AA232:AD232"/>
    <mergeCell ref="AE232:AG232"/>
    <mergeCell ref="A231:P231"/>
    <mergeCell ref="Q231:W231"/>
    <mergeCell ref="X231:Z231"/>
    <mergeCell ref="AA231:AD231"/>
    <mergeCell ref="AE229:AG229"/>
    <mergeCell ref="A230:P230"/>
    <mergeCell ref="Q230:W230"/>
    <mergeCell ref="X230:Z230"/>
    <mergeCell ref="AA230:AD230"/>
    <mergeCell ref="AE230:AG230"/>
    <mergeCell ref="A229:P229"/>
    <mergeCell ref="Q229:W229"/>
    <mergeCell ref="X229:Z229"/>
    <mergeCell ref="AA229:AD229"/>
    <mergeCell ref="A227:AG227"/>
    <mergeCell ref="A228:P228"/>
    <mergeCell ref="Q228:W228"/>
    <mergeCell ref="X228:Z228"/>
    <mergeCell ref="AA228:AD228"/>
    <mergeCell ref="AE228:AG228"/>
    <mergeCell ref="A225:AG225"/>
    <mergeCell ref="A226:P226"/>
    <mergeCell ref="Q226:W226"/>
    <mergeCell ref="X226:Z226"/>
    <mergeCell ref="AA226:AD226"/>
    <mergeCell ref="AE226:AG226"/>
    <mergeCell ref="AE223:AG223"/>
    <mergeCell ref="A224:W224"/>
    <mergeCell ref="X224:Z224"/>
    <mergeCell ref="AA224:AD224"/>
    <mergeCell ref="AE224:AG224"/>
    <mergeCell ref="B223:U223"/>
    <mergeCell ref="V223:W223"/>
    <mergeCell ref="X223:Z223"/>
    <mergeCell ref="AA223:AD223"/>
    <mergeCell ref="AE221:AG221"/>
    <mergeCell ref="B222:U222"/>
    <mergeCell ref="V222:W222"/>
    <mergeCell ref="X222:Z222"/>
    <mergeCell ref="AA222:AD222"/>
    <mergeCell ref="AE222:AG222"/>
    <mergeCell ref="B221:U221"/>
    <mergeCell ref="V221:W221"/>
    <mergeCell ref="X221:Z221"/>
    <mergeCell ref="AA221:AD221"/>
    <mergeCell ref="A219:AG219"/>
    <mergeCell ref="B220:U220"/>
    <mergeCell ref="V220:W220"/>
    <mergeCell ref="X220:Z220"/>
    <mergeCell ref="AA220:AD220"/>
    <mergeCell ref="AE220:AG220"/>
    <mergeCell ref="AE217:AG217"/>
    <mergeCell ref="B218:U218"/>
    <mergeCell ref="V218:W218"/>
    <mergeCell ref="X218:Z218"/>
    <mergeCell ref="AA218:AD218"/>
    <mergeCell ref="AE218:AG218"/>
    <mergeCell ref="B217:U217"/>
    <mergeCell ref="V217:W217"/>
    <mergeCell ref="X217:Z217"/>
    <mergeCell ref="AA217:AD217"/>
    <mergeCell ref="AE215:AG215"/>
    <mergeCell ref="B216:U216"/>
    <mergeCell ref="V216:W216"/>
    <mergeCell ref="X216:Z216"/>
    <mergeCell ref="AA216:AD216"/>
    <mergeCell ref="AE216:AG216"/>
    <mergeCell ref="B215:U215"/>
    <mergeCell ref="V215:W215"/>
    <mergeCell ref="X215:Z215"/>
    <mergeCell ref="AA215:AD215"/>
    <mergeCell ref="AE213:AG213"/>
    <mergeCell ref="B214:U214"/>
    <mergeCell ref="V214:W214"/>
    <mergeCell ref="X214:Z214"/>
    <mergeCell ref="AA214:AD214"/>
    <mergeCell ref="AE214:AG214"/>
    <mergeCell ref="B213:U213"/>
    <mergeCell ref="V213:W213"/>
    <mergeCell ref="X213:Z213"/>
    <mergeCell ref="AA213:AD213"/>
    <mergeCell ref="A211:AG211"/>
    <mergeCell ref="B212:U212"/>
    <mergeCell ref="V212:W212"/>
    <mergeCell ref="X212:Z212"/>
    <mergeCell ref="AA212:AD212"/>
    <mergeCell ref="AE212:AG212"/>
    <mergeCell ref="AE209:AG209"/>
    <mergeCell ref="B210:U210"/>
    <mergeCell ref="V210:W210"/>
    <mergeCell ref="X210:Z210"/>
    <mergeCell ref="AA210:AD210"/>
    <mergeCell ref="AE210:AG210"/>
    <mergeCell ref="B209:U209"/>
    <mergeCell ref="V209:W209"/>
    <mergeCell ref="X209:Z209"/>
    <mergeCell ref="AA209:AD209"/>
    <mergeCell ref="AE207:AG207"/>
    <mergeCell ref="B208:U208"/>
    <mergeCell ref="V208:W208"/>
    <mergeCell ref="X208:Z208"/>
    <mergeCell ref="AA208:AD208"/>
    <mergeCell ref="AE208:AG208"/>
    <mergeCell ref="B207:U207"/>
    <mergeCell ref="V207:W207"/>
    <mergeCell ref="X207:Z207"/>
    <mergeCell ref="AA207:AD207"/>
    <mergeCell ref="AE205:AG205"/>
    <mergeCell ref="B206:U206"/>
    <mergeCell ref="V206:W206"/>
    <mergeCell ref="X206:Z206"/>
    <mergeCell ref="AA206:AD206"/>
    <mergeCell ref="AE206:AG206"/>
    <mergeCell ref="B205:U205"/>
    <mergeCell ref="V205:W205"/>
    <mergeCell ref="X205:Z205"/>
    <mergeCell ref="AA205:AD205"/>
    <mergeCell ref="A203:AG203"/>
    <mergeCell ref="B204:U204"/>
    <mergeCell ref="V204:W204"/>
    <mergeCell ref="X204:Z204"/>
    <mergeCell ref="AA204:AD204"/>
    <mergeCell ref="AE204:AG204"/>
    <mergeCell ref="A202:Q202"/>
    <mergeCell ref="R202:Z202"/>
    <mergeCell ref="AA202:AD202"/>
    <mergeCell ref="AE202:AG202"/>
    <mergeCell ref="AE200:AG200"/>
    <mergeCell ref="B201:U201"/>
    <mergeCell ref="V201:W201"/>
    <mergeCell ref="X201:Z201"/>
    <mergeCell ref="AA201:AD201"/>
    <mergeCell ref="AE201:AG201"/>
    <mergeCell ref="B200:U200"/>
    <mergeCell ref="V200:W200"/>
    <mergeCell ref="X200:Z200"/>
    <mergeCell ref="AA200:AD200"/>
    <mergeCell ref="AE198:AG198"/>
    <mergeCell ref="B199:U199"/>
    <mergeCell ref="V199:W199"/>
    <mergeCell ref="X199:Z199"/>
    <mergeCell ref="AA199:AD199"/>
    <mergeCell ref="AE199:AG199"/>
    <mergeCell ref="B198:U198"/>
    <mergeCell ref="V198:W198"/>
    <mergeCell ref="X198:Z198"/>
    <mergeCell ref="AA198:AD198"/>
    <mergeCell ref="AE196:AG196"/>
    <mergeCell ref="B197:U197"/>
    <mergeCell ref="V197:W197"/>
    <mergeCell ref="X197:Z197"/>
    <mergeCell ref="AA197:AD197"/>
    <mergeCell ref="AE197:AG197"/>
    <mergeCell ref="B196:U196"/>
    <mergeCell ref="V196:W196"/>
    <mergeCell ref="X196:Z196"/>
    <mergeCell ref="AA196:AD196"/>
    <mergeCell ref="A194:AG194"/>
    <mergeCell ref="B195:U195"/>
    <mergeCell ref="V195:W195"/>
    <mergeCell ref="X195:Z195"/>
    <mergeCell ref="AA195:AD195"/>
    <mergeCell ref="AE195:AG195"/>
    <mergeCell ref="AE192:AG192"/>
    <mergeCell ref="B193:U193"/>
    <mergeCell ref="V193:W193"/>
    <mergeCell ref="X193:Z193"/>
    <mergeCell ref="AA193:AD193"/>
    <mergeCell ref="AE193:AG193"/>
    <mergeCell ref="B192:U192"/>
    <mergeCell ref="V192:W192"/>
    <mergeCell ref="X192:Z192"/>
    <mergeCell ref="AA192:AD192"/>
    <mergeCell ref="AE190:AG190"/>
    <mergeCell ref="B191:U191"/>
    <mergeCell ref="V191:W191"/>
    <mergeCell ref="X191:Z191"/>
    <mergeCell ref="AA191:AD191"/>
    <mergeCell ref="AE191:AG191"/>
    <mergeCell ref="B190:U190"/>
    <mergeCell ref="V190:W190"/>
    <mergeCell ref="X190:Z190"/>
    <mergeCell ref="AA190:AD190"/>
    <mergeCell ref="AE188:AG188"/>
    <mergeCell ref="B189:U189"/>
    <mergeCell ref="V189:W189"/>
    <mergeCell ref="X189:Z189"/>
    <mergeCell ref="AA189:AD189"/>
    <mergeCell ref="AE189:AG189"/>
    <mergeCell ref="B188:U188"/>
    <mergeCell ref="V188:W188"/>
    <mergeCell ref="X188:Z188"/>
    <mergeCell ref="AA188:AD188"/>
    <mergeCell ref="A186:AG186"/>
    <mergeCell ref="B187:U187"/>
    <mergeCell ref="V187:W187"/>
    <mergeCell ref="X187:Z187"/>
    <mergeCell ref="AA187:AD187"/>
    <mergeCell ref="AE187:AG187"/>
    <mergeCell ref="AE183:AG183"/>
    <mergeCell ref="A184:AG184"/>
    <mergeCell ref="A185:Q185"/>
    <mergeCell ref="R185:Z185"/>
    <mergeCell ref="AA185:AD185"/>
    <mergeCell ref="AE185:AG185"/>
    <mergeCell ref="A183:U183"/>
    <mergeCell ref="V183:W183"/>
    <mergeCell ref="X183:Z183"/>
    <mergeCell ref="AA183:AD183"/>
    <mergeCell ref="A182:W182"/>
    <mergeCell ref="X182:Z182"/>
    <mergeCell ref="AA182:AD182"/>
    <mergeCell ref="AE182:AG182"/>
    <mergeCell ref="AE180:AG180"/>
    <mergeCell ref="A181:D181"/>
    <mergeCell ref="E181:W181"/>
    <mergeCell ref="X181:Z181"/>
    <mergeCell ref="AA181:AD181"/>
    <mergeCell ref="AE181:AG181"/>
    <mergeCell ref="A180:D180"/>
    <mergeCell ref="E180:W180"/>
    <mergeCell ref="X180:Z180"/>
    <mergeCell ref="AA180:AD180"/>
    <mergeCell ref="AE178:AG178"/>
    <mergeCell ref="A179:D179"/>
    <mergeCell ref="E179:W179"/>
    <mergeCell ref="X179:Z179"/>
    <mergeCell ref="AA179:AD179"/>
    <mergeCell ref="AE179:AG179"/>
    <mergeCell ref="A178:D178"/>
    <mergeCell ref="E178:W178"/>
    <mergeCell ref="X178:Z178"/>
    <mergeCell ref="AA178:AD178"/>
    <mergeCell ref="AE176:AG176"/>
    <mergeCell ref="A177:D177"/>
    <mergeCell ref="E177:W177"/>
    <mergeCell ref="X177:Z177"/>
    <mergeCell ref="AA177:AD177"/>
    <mergeCell ref="AE177:AG177"/>
    <mergeCell ref="A176:D176"/>
    <mergeCell ref="E176:W176"/>
    <mergeCell ref="X176:Z176"/>
    <mergeCell ref="AA176:AD176"/>
    <mergeCell ref="AE174:AG174"/>
    <mergeCell ref="A175:D175"/>
    <mergeCell ref="E175:W175"/>
    <mergeCell ref="X175:Z175"/>
    <mergeCell ref="AA175:AD175"/>
    <mergeCell ref="AE175:AG175"/>
    <mergeCell ref="A174:D174"/>
    <mergeCell ref="E174:W174"/>
    <mergeCell ref="X174:Z174"/>
    <mergeCell ref="AA174:AD174"/>
    <mergeCell ref="AE172:AG172"/>
    <mergeCell ref="A173:D173"/>
    <mergeCell ref="E173:W173"/>
    <mergeCell ref="X173:Z173"/>
    <mergeCell ref="AA173:AD173"/>
    <mergeCell ref="AE173:AG173"/>
    <mergeCell ref="A172:D172"/>
    <mergeCell ref="E172:W172"/>
    <mergeCell ref="X172:Z172"/>
    <mergeCell ref="AA172:AD172"/>
    <mergeCell ref="AE170:AG170"/>
    <mergeCell ref="A171:D171"/>
    <mergeCell ref="E171:W171"/>
    <mergeCell ref="X171:Z171"/>
    <mergeCell ref="AA171:AD171"/>
    <mergeCell ref="AE171:AG171"/>
    <mergeCell ref="A170:D170"/>
    <mergeCell ref="E170:W170"/>
    <mergeCell ref="X170:Z170"/>
    <mergeCell ref="AA170:AD170"/>
    <mergeCell ref="AE168:AG168"/>
    <mergeCell ref="A169:D169"/>
    <mergeCell ref="E169:W169"/>
    <mergeCell ref="X169:Z169"/>
    <mergeCell ref="AA169:AD169"/>
    <mergeCell ref="AE169:AG169"/>
    <mergeCell ref="A168:D168"/>
    <mergeCell ref="E168:W168"/>
    <mergeCell ref="X168:Z168"/>
    <mergeCell ref="AA168:AD168"/>
    <mergeCell ref="AE166:AG166"/>
    <mergeCell ref="A167:D167"/>
    <mergeCell ref="E167:W167"/>
    <mergeCell ref="X167:Z167"/>
    <mergeCell ref="AA167:AD167"/>
    <mergeCell ref="AE167:AG167"/>
    <mergeCell ref="A166:D166"/>
    <mergeCell ref="E166:W166"/>
    <mergeCell ref="X166:Z166"/>
    <mergeCell ref="AA166:AD166"/>
    <mergeCell ref="AE164:AG164"/>
    <mergeCell ref="A165:D165"/>
    <mergeCell ref="E165:W165"/>
    <mergeCell ref="X165:Z165"/>
    <mergeCell ref="AA165:AD165"/>
    <mergeCell ref="AE165:AG165"/>
    <mergeCell ref="A164:D164"/>
    <mergeCell ref="E164:W164"/>
    <mergeCell ref="X164:Z164"/>
    <mergeCell ref="AA164:AD164"/>
    <mergeCell ref="AE162:AG162"/>
    <mergeCell ref="A163:D163"/>
    <mergeCell ref="E163:W163"/>
    <mergeCell ref="X163:Z163"/>
    <mergeCell ref="AA163:AD163"/>
    <mergeCell ref="AE163:AG163"/>
    <mergeCell ref="A162:D162"/>
    <mergeCell ref="E162:W162"/>
    <mergeCell ref="X162:Z162"/>
    <mergeCell ref="AA162:AD162"/>
    <mergeCell ref="AE160:AG160"/>
    <mergeCell ref="A161:D161"/>
    <mergeCell ref="E161:W161"/>
    <mergeCell ref="X161:Z161"/>
    <mergeCell ref="AA161:AD161"/>
    <mergeCell ref="AE161:AG161"/>
    <mergeCell ref="A160:D160"/>
    <mergeCell ref="E160:W160"/>
    <mergeCell ref="X160:Z160"/>
    <mergeCell ref="AA160:AD160"/>
    <mergeCell ref="AE158:AG158"/>
    <mergeCell ref="A159:D159"/>
    <mergeCell ref="E159:W159"/>
    <mergeCell ref="X159:Z159"/>
    <mergeCell ref="AA159:AD159"/>
    <mergeCell ref="AE159:AG159"/>
    <mergeCell ref="A158:D158"/>
    <mergeCell ref="E158:W158"/>
    <mergeCell ref="X158:Z158"/>
    <mergeCell ref="AA158:AD158"/>
    <mergeCell ref="AE156:AG156"/>
    <mergeCell ref="A157:D157"/>
    <mergeCell ref="E157:W157"/>
    <mergeCell ref="X157:Z157"/>
    <mergeCell ref="AA157:AD157"/>
    <mergeCell ref="AE157:AG157"/>
    <mergeCell ref="A156:D156"/>
    <mergeCell ref="E156:W156"/>
    <mergeCell ref="X156:Z156"/>
    <mergeCell ref="AA156:AD156"/>
    <mergeCell ref="AE154:AG154"/>
    <mergeCell ref="A155:D155"/>
    <mergeCell ref="E155:W155"/>
    <mergeCell ref="X155:Z155"/>
    <mergeCell ref="AA155:AD155"/>
    <mergeCell ref="AE155:AG155"/>
    <mergeCell ref="A154:D154"/>
    <mergeCell ref="E154:W154"/>
    <mergeCell ref="X154:Z154"/>
    <mergeCell ref="AA154:AD154"/>
    <mergeCell ref="AE152:AG152"/>
    <mergeCell ref="A153:D153"/>
    <mergeCell ref="E153:W153"/>
    <mergeCell ref="X153:Z153"/>
    <mergeCell ref="AA153:AD153"/>
    <mergeCell ref="AE153:AG153"/>
    <mergeCell ref="A152:D152"/>
    <mergeCell ref="E152:W152"/>
    <mergeCell ref="X152:Z152"/>
    <mergeCell ref="AA152:AD152"/>
    <mergeCell ref="AE150:AG150"/>
    <mergeCell ref="A151:D151"/>
    <mergeCell ref="E151:W151"/>
    <mergeCell ref="X151:Z151"/>
    <mergeCell ref="AA151:AD151"/>
    <mergeCell ref="AE151:AG151"/>
    <mergeCell ref="A150:D150"/>
    <mergeCell ref="E150:W150"/>
    <mergeCell ref="X150:Z150"/>
    <mergeCell ref="AA150:AD150"/>
    <mergeCell ref="AE148:AG148"/>
    <mergeCell ref="A149:D149"/>
    <mergeCell ref="E149:W149"/>
    <mergeCell ref="X149:Z149"/>
    <mergeCell ref="AA149:AD149"/>
    <mergeCell ref="AE149:AG149"/>
    <mergeCell ref="A148:D148"/>
    <mergeCell ref="E148:W148"/>
    <mergeCell ref="X148:Z148"/>
    <mergeCell ref="AA148:AD148"/>
    <mergeCell ref="AE146:AG146"/>
    <mergeCell ref="A147:D147"/>
    <mergeCell ref="E147:W147"/>
    <mergeCell ref="X147:Z147"/>
    <mergeCell ref="AA147:AD147"/>
    <mergeCell ref="AE147:AG147"/>
    <mergeCell ref="A146:D146"/>
    <mergeCell ref="E146:W146"/>
    <mergeCell ref="X146:Z146"/>
    <mergeCell ref="AA146:AD146"/>
    <mergeCell ref="AE144:AG144"/>
    <mergeCell ref="A145:D145"/>
    <mergeCell ref="E145:W145"/>
    <mergeCell ref="X145:Z145"/>
    <mergeCell ref="AA145:AD145"/>
    <mergeCell ref="AE145:AG145"/>
    <mergeCell ref="A144:D144"/>
    <mergeCell ref="E144:W144"/>
    <mergeCell ref="X144:Z144"/>
    <mergeCell ref="AA144:AD144"/>
    <mergeCell ref="AE142:AG142"/>
    <mergeCell ref="A143:D143"/>
    <mergeCell ref="E143:W143"/>
    <mergeCell ref="X143:Z143"/>
    <mergeCell ref="AA143:AD143"/>
    <mergeCell ref="AE143:AG143"/>
    <mergeCell ref="A142:D142"/>
    <mergeCell ref="E142:W142"/>
    <mergeCell ref="X142:Z142"/>
    <mergeCell ref="AA142:AD142"/>
    <mergeCell ref="AE140:AG140"/>
    <mergeCell ref="A141:D141"/>
    <mergeCell ref="E141:W141"/>
    <mergeCell ref="X141:Z141"/>
    <mergeCell ref="AA141:AD141"/>
    <mergeCell ref="AE141:AG141"/>
    <mergeCell ref="A140:D140"/>
    <mergeCell ref="E140:W140"/>
    <mergeCell ref="X140:Z140"/>
    <mergeCell ref="AA140:AD140"/>
    <mergeCell ref="A139:W139"/>
    <mergeCell ref="X139:Z139"/>
    <mergeCell ref="AA139:AD139"/>
    <mergeCell ref="AE139:AG139"/>
    <mergeCell ref="AE137:AG137"/>
    <mergeCell ref="A138:D138"/>
    <mergeCell ref="E138:W138"/>
    <mergeCell ref="X138:Z138"/>
    <mergeCell ref="AA138:AD138"/>
    <mergeCell ref="AE138:AG138"/>
    <mergeCell ref="A137:D137"/>
    <mergeCell ref="E137:W137"/>
    <mergeCell ref="X137:Z137"/>
    <mergeCell ref="AA137:AD137"/>
    <mergeCell ref="AE135:AG135"/>
    <mergeCell ref="A136:D136"/>
    <mergeCell ref="E136:W136"/>
    <mergeCell ref="X136:Z136"/>
    <mergeCell ref="AA136:AD136"/>
    <mergeCell ref="AE136:AG136"/>
    <mergeCell ref="A135:D135"/>
    <mergeCell ref="E135:W135"/>
    <mergeCell ref="X135:Z135"/>
    <mergeCell ref="AA135:AD135"/>
    <mergeCell ref="AE133:AG133"/>
    <mergeCell ref="A134:D134"/>
    <mergeCell ref="E134:W134"/>
    <mergeCell ref="X134:Z134"/>
    <mergeCell ref="AA134:AD134"/>
    <mergeCell ref="AE134:AG134"/>
    <mergeCell ref="A133:D133"/>
    <mergeCell ref="E133:W133"/>
    <mergeCell ref="X133:Z133"/>
    <mergeCell ref="AA133:AD133"/>
    <mergeCell ref="AE131:AG131"/>
    <mergeCell ref="A132:D132"/>
    <mergeCell ref="E132:W132"/>
    <mergeCell ref="X132:Z132"/>
    <mergeCell ref="AA132:AD132"/>
    <mergeCell ref="AE132:AG132"/>
    <mergeCell ref="A131:D131"/>
    <mergeCell ref="E131:W131"/>
    <mergeCell ref="X131:Z131"/>
    <mergeCell ref="AA131:AD131"/>
    <mergeCell ref="AE129:AG129"/>
    <mergeCell ref="A130:D130"/>
    <mergeCell ref="E130:W130"/>
    <mergeCell ref="X130:Z130"/>
    <mergeCell ref="AA130:AD130"/>
    <mergeCell ref="AE130:AG130"/>
    <mergeCell ref="A129:D129"/>
    <mergeCell ref="E129:W129"/>
    <mergeCell ref="X129:Z129"/>
    <mergeCell ref="AA129:AD129"/>
    <mergeCell ref="AE127:AG127"/>
    <mergeCell ref="A128:D128"/>
    <mergeCell ref="E128:W128"/>
    <mergeCell ref="X128:Z128"/>
    <mergeCell ref="AA128:AD128"/>
    <mergeCell ref="AE128:AG128"/>
    <mergeCell ref="A127:D127"/>
    <mergeCell ref="E127:W127"/>
    <mergeCell ref="X127:Z127"/>
    <mergeCell ref="AA127:AD127"/>
    <mergeCell ref="AE125:AG125"/>
    <mergeCell ref="A126:D126"/>
    <mergeCell ref="E126:W126"/>
    <mergeCell ref="X126:Z126"/>
    <mergeCell ref="AA126:AD126"/>
    <mergeCell ref="AE126:AG126"/>
    <mergeCell ref="A125:D125"/>
    <mergeCell ref="E125:W125"/>
    <mergeCell ref="X125:Z125"/>
    <mergeCell ref="AA125:AD125"/>
    <mergeCell ref="AE123:AG123"/>
    <mergeCell ref="A124:D124"/>
    <mergeCell ref="E124:W124"/>
    <mergeCell ref="X124:Z124"/>
    <mergeCell ref="AA124:AD124"/>
    <mergeCell ref="AE124:AG124"/>
    <mergeCell ref="A123:D123"/>
    <mergeCell ref="E123:W123"/>
    <mergeCell ref="X123:Z123"/>
    <mergeCell ref="AA123:AD123"/>
    <mergeCell ref="AE121:AG121"/>
    <mergeCell ref="A122:D122"/>
    <mergeCell ref="E122:W122"/>
    <mergeCell ref="X122:Z122"/>
    <mergeCell ref="AA122:AD122"/>
    <mergeCell ref="AE122:AG122"/>
    <mergeCell ref="A121:D121"/>
    <mergeCell ref="E121:W121"/>
    <mergeCell ref="X121:Z121"/>
    <mergeCell ref="AA121:AD121"/>
    <mergeCell ref="AE119:AG119"/>
    <mergeCell ref="A120:D120"/>
    <mergeCell ref="E120:W120"/>
    <mergeCell ref="X120:Z120"/>
    <mergeCell ref="AA120:AD120"/>
    <mergeCell ref="AE120:AG120"/>
    <mergeCell ref="A119:D119"/>
    <mergeCell ref="E119:W119"/>
    <mergeCell ref="X119:Z119"/>
    <mergeCell ref="AA119:AD119"/>
    <mergeCell ref="AE117:AG117"/>
    <mergeCell ref="A118:D118"/>
    <mergeCell ref="E118:W118"/>
    <mergeCell ref="X118:Z118"/>
    <mergeCell ref="AA118:AD118"/>
    <mergeCell ref="AE118:AG118"/>
    <mergeCell ref="A117:D117"/>
    <mergeCell ref="E117:W117"/>
    <mergeCell ref="X117:Z117"/>
    <mergeCell ref="AA117:AD117"/>
    <mergeCell ref="AE115:AG115"/>
    <mergeCell ref="A116:D116"/>
    <mergeCell ref="E116:W116"/>
    <mergeCell ref="X116:Z116"/>
    <mergeCell ref="AA116:AD116"/>
    <mergeCell ref="AE116:AG116"/>
    <mergeCell ref="A115:D115"/>
    <mergeCell ref="E115:W115"/>
    <mergeCell ref="X115:Z115"/>
    <mergeCell ref="AA115:AD115"/>
    <mergeCell ref="AE113:AG113"/>
    <mergeCell ref="A114:D114"/>
    <mergeCell ref="E114:W114"/>
    <mergeCell ref="X114:Z114"/>
    <mergeCell ref="AA114:AD114"/>
    <mergeCell ref="AE114:AG114"/>
    <mergeCell ref="A113:D113"/>
    <mergeCell ref="E113:W113"/>
    <mergeCell ref="X113:Z113"/>
    <mergeCell ref="AA113:AD113"/>
    <mergeCell ref="AE111:AG111"/>
    <mergeCell ref="A112:D112"/>
    <mergeCell ref="E112:W112"/>
    <mergeCell ref="X112:Z112"/>
    <mergeCell ref="AA112:AD112"/>
    <mergeCell ref="AE112:AG112"/>
    <mergeCell ref="A111:D111"/>
    <mergeCell ref="E111:W111"/>
    <mergeCell ref="X111:Z111"/>
    <mergeCell ref="AA111:AD111"/>
    <mergeCell ref="AE109:AG109"/>
    <mergeCell ref="A110:D110"/>
    <mergeCell ref="E110:W110"/>
    <mergeCell ref="X110:Z110"/>
    <mergeCell ref="AA110:AD110"/>
    <mergeCell ref="AE110:AG110"/>
    <mergeCell ref="A109:D109"/>
    <mergeCell ref="E109:W109"/>
    <mergeCell ref="X109:Z109"/>
    <mergeCell ref="AA109:AD109"/>
    <mergeCell ref="AE107:AG107"/>
    <mergeCell ref="A108:D108"/>
    <mergeCell ref="E108:W108"/>
    <mergeCell ref="X108:Z108"/>
    <mergeCell ref="AA108:AD108"/>
    <mergeCell ref="AE108:AG108"/>
    <mergeCell ref="A107:D107"/>
    <mergeCell ref="E107:W107"/>
    <mergeCell ref="X107:Z107"/>
    <mergeCell ref="AA107:AD107"/>
    <mergeCell ref="AE105:AG105"/>
    <mergeCell ref="A106:D106"/>
    <mergeCell ref="E106:W106"/>
    <mergeCell ref="X106:Z106"/>
    <mergeCell ref="AA106:AD106"/>
    <mergeCell ref="AE106:AG106"/>
    <mergeCell ref="A105:D105"/>
    <mergeCell ref="E105:W105"/>
    <mergeCell ref="X105:Z105"/>
    <mergeCell ref="AA105:AD105"/>
    <mergeCell ref="AE103:AG103"/>
    <mergeCell ref="A104:D104"/>
    <mergeCell ref="E104:W104"/>
    <mergeCell ref="X104:Z104"/>
    <mergeCell ref="AA104:AD104"/>
    <mergeCell ref="AE104:AG104"/>
    <mergeCell ref="A103:D103"/>
    <mergeCell ref="E103:W103"/>
    <mergeCell ref="X103:Z103"/>
    <mergeCell ref="AA103:AD103"/>
    <mergeCell ref="AE101:AG101"/>
    <mergeCell ref="A102:D102"/>
    <mergeCell ref="E102:W102"/>
    <mergeCell ref="X102:Z102"/>
    <mergeCell ref="AA102:AD102"/>
    <mergeCell ref="AE102:AG102"/>
    <mergeCell ref="A101:D101"/>
    <mergeCell ref="E101:W101"/>
    <mergeCell ref="X101:Z101"/>
    <mergeCell ref="AA101:AD101"/>
    <mergeCell ref="A100:W100"/>
    <mergeCell ref="X100:Z100"/>
    <mergeCell ref="AA100:AD100"/>
    <mergeCell ref="AE100:AG100"/>
    <mergeCell ref="A99:W99"/>
    <mergeCell ref="X99:Z99"/>
    <mergeCell ref="AA99:AD99"/>
    <mergeCell ref="AE99:AG99"/>
    <mergeCell ref="A98:W98"/>
    <mergeCell ref="X98:Z98"/>
    <mergeCell ref="AA98:AD98"/>
    <mergeCell ref="AE98:AG98"/>
    <mergeCell ref="A97:W97"/>
    <mergeCell ref="X97:Z97"/>
    <mergeCell ref="AA97:AD97"/>
    <mergeCell ref="AE97:AG97"/>
    <mergeCell ref="A96:W96"/>
    <mergeCell ref="X96:Z96"/>
    <mergeCell ref="AA96:AD96"/>
    <mergeCell ref="AE96:AG96"/>
    <mergeCell ref="A95:W95"/>
    <mergeCell ref="X95:Z95"/>
    <mergeCell ref="AA95:AD95"/>
    <mergeCell ref="AE95:AG95"/>
    <mergeCell ref="A93:AG93"/>
    <mergeCell ref="A94:W94"/>
    <mergeCell ref="X94:Z94"/>
    <mergeCell ref="AA94:AD94"/>
    <mergeCell ref="AE94:AG94"/>
    <mergeCell ref="A92:W92"/>
    <mergeCell ref="X92:Z92"/>
    <mergeCell ref="AA92:AD92"/>
    <mergeCell ref="AE92:AG92"/>
    <mergeCell ref="AE90:AG90"/>
    <mergeCell ref="A91:D91"/>
    <mergeCell ref="E91:W91"/>
    <mergeCell ref="X91:Z91"/>
    <mergeCell ref="AA91:AD91"/>
    <mergeCell ref="AE91:AG91"/>
    <mergeCell ref="A90:D90"/>
    <mergeCell ref="E90:W90"/>
    <mergeCell ref="X90:Z90"/>
    <mergeCell ref="AA90:AD90"/>
    <mergeCell ref="AE88:AG88"/>
    <mergeCell ref="A89:D89"/>
    <mergeCell ref="E89:W89"/>
    <mergeCell ref="X89:Z89"/>
    <mergeCell ref="AA89:AD89"/>
    <mergeCell ref="AE89:AG89"/>
    <mergeCell ref="A88:D88"/>
    <mergeCell ref="E88:W88"/>
    <mergeCell ref="X88:Z88"/>
    <mergeCell ref="AA88:AD88"/>
    <mergeCell ref="AE86:AG86"/>
    <mergeCell ref="A87:D87"/>
    <mergeCell ref="E87:W87"/>
    <mergeCell ref="X87:Z87"/>
    <mergeCell ref="AA87:AD87"/>
    <mergeCell ref="AE87:AG87"/>
    <mergeCell ref="A86:D86"/>
    <mergeCell ref="E86:W86"/>
    <mergeCell ref="X86:Z86"/>
    <mergeCell ref="AA86:AD86"/>
    <mergeCell ref="AE84:AG84"/>
    <mergeCell ref="A85:D85"/>
    <mergeCell ref="E85:W85"/>
    <mergeCell ref="X85:Z85"/>
    <mergeCell ref="AA85:AD85"/>
    <mergeCell ref="AE85:AG85"/>
    <mergeCell ref="A84:D84"/>
    <mergeCell ref="E84:W84"/>
    <mergeCell ref="X84:Z84"/>
    <mergeCell ref="AA84:AD84"/>
    <mergeCell ref="AE82:AG82"/>
    <mergeCell ref="A83:D83"/>
    <mergeCell ref="E83:W83"/>
    <mergeCell ref="X83:Z83"/>
    <mergeCell ref="AA83:AD83"/>
    <mergeCell ref="AE83:AG83"/>
    <mergeCell ref="A82:D82"/>
    <mergeCell ref="E82:W82"/>
    <mergeCell ref="X82:Z82"/>
    <mergeCell ref="AA82:AD82"/>
    <mergeCell ref="AE80:AG80"/>
    <mergeCell ref="A81:D81"/>
    <mergeCell ref="E81:W81"/>
    <mergeCell ref="X81:Z81"/>
    <mergeCell ref="AA81:AD81"/>
    <mergeCell ref="AE81:AG81"/>
    <mergeCell ref="A80:D80"/>
    <mergeCell ref="E80:W80"/>
    <mergeCell ref="X80:Z80"/>
    <mergeCell ref="AA80:AD80"/>
    <mergeCell ref="AE78:AG78"/>
    <mergeCell ref="A79:D79"/>
    <mergeCell ref="E79:W79"/>
    <mergeCell ref="X79:Z79"/>
    <mergeCell ref="AA79:AD79"/>
    <mergeCell ref="AE79:AG79"/>
    <mergeCell ref="A78:D78"/>
    <mergeCell ref="E78:W78"/>
    <mergeCell ref="X78:Z78"/>
    <mergeCell ref="AA78:AD78"/>
    <mergeCell ref="AE76:AG76"/>
    <mergeCell ref="A77:D77"/>
    <mergeCell ref="E77:W77"/>
    <mergeCell ref="X77:Z77"/>
    <mergeCell ref="AA77:AD77"/>
    <mergeCell ref="AE77:AG77"/>
    <mergeCell ref="A76:D76"/>
    <mergeCell ref="E76:W76"/>
    <mergeCell ref="X76:Z76"/>
    <mergeCell ref="AA76:AD76"/>
    <mergeCell ref="AE74:AG74"/>
    <mergeCell ref="A75:W75"/>
    <mergeCell ref="X75:Z75"/>
    <mergeCell ref="AA75:AD75"/>
    <mergeCell ref="AE75:AG75"/>
    <mergeCell ref="A74:D74"/>
    <mergeCell ref="E74:W74"/>
    <mergeCell ref="X74:Z74"/>
    <mergeCell ref="AA74:AD74"/>
    <mergeCell ref="AE72:AG72"/>
    <mergeCell ref="A73:D73"/>
    <mergeCell ref="E73:W73"/>
    <mergeCell ref="X73:Z73"/>
    <mergeCell ref="AA73:AD73"/>
    <mergeCell ref="AE73:AG73"/>
    <mergeCell ref="A72:D72"/>
    <mergeCell ref="E72:W72"/>
    <mergeCell ref="X72:Z72"/>
    <mergeCell ref="AA72:AD72"/>
    <mergeCell ref="AE70:AG70"/>
    <mergeCell ref="A71:D71"/>
    <mergeCell ref="E71:W71"/>
    <mergeCell ref="X71:Z71"/>
    <mergeCell ref="AA71:AD71"/>
    <mergeCell ref="AE71:AG71"/>
    <mergeCell ref="A70:D70"/>
    <mergeCell ref="E70:W70"/>
    <mergeCell ref="X70:Z70"/>
    <mergeCell ref="AA70:AD70"/>
    <mergeCell ref="AE68:AG68"/>
    <mergeCell ref="A69:D69"/>
    <mergeCell ref="E69:W69"/>
    <mergeCell ref="X69:Z69"/>
    <mergeCell ref="AA69:AD69"/>
    <mergeCell ref="AE69:AG69"/>
    <mergeCell ref="A68:D68"/>
    <mergeCell ref="E68:W68"/>
    <mergeCell ref="X68:Z68"/>
    <mergeCell ref="AA68:AD68"/>
    <mergeCell ref="A67:W67"/>
    <mergeCell ref="X67:Z67"/>
    <mergeCell ref="AA67:AD67"/>
    <mergeCell ref="AE67:AG67"/>
    <mergeCell ref="AE65:AG65"/>
    <mergeCell ref="A66:D66"/>
    <mergeCell ref="E66:W66"/>
    <mergeCell ref="X66:Z66"/>
    <mergeCell ref="AA66:AD66"/>
    <mergeCell ref="AE66:AG66"/>
    <mergeCell ref="A65:D65"/>
    <mergeCell ref="E65:W65"/>
    <mergeCell ref="X65:Z65"/>
    <mergeCell ref="AA65:AD65"/>
    <mergeCell ref="AE63:AG63"/>
    <mergeCell ref="A64:D64"/>
    <mergeCell ref="E64:W64"/>
    <mergeCell ref="X64:Z64"/>
    <mergeCell ref="AA64:AD64"/>
    <mergeCell ref="AE64:AG64"/>
    <mergeCell ref="A63:D63"/>
    <mergeCell ref="E63:W63"/>
    <mergeCell ref="X63:Z63"/>
    <mergeCell ref="AA63:AD63"/>
    <mergeCell ref="AE61:AG61"/>
    <mergeCell ref="A62:D62"/>
    <mergeCell ref="E62:W62"/>
    <mergeCell ref="X62:Z62"/>
    <mergeCell ref="AA62:AD62"/>
    <mergeCell ref="AE62:AG62"/>
    <mergeCell ref="A61:D61"/>
    <mergeCell ref="E61:W61"/>
    <mergeCell ref="X61:Z61"/>
    <mergeCell ref="AA61:AD61"/>
    <mergeCell ref="AE59:AG59"/>
    <mergeCell ref="A60:D60"/>
    <mergeCell ref="E60:W60"/>
    <mergeCell ref="X60:Z60"/>
    <mergeCell ref="AA60:AD60"/>
    <mergeCell ref="AE60:AG60"/>
    <mergeCell ref="A59:D59"/>
    <mergeCell ref="E59:W59"/>
    <mergeCell ref="X59:Z59"/>
    <mergeCell ref="AA59:AD59"/>
    <mergeCell ref="AE57:AG57"/>
    <mergeCell ref="A58:D58"/>
    <mergeCell ref="E58:W58"/>
    <mergeCell ref="X58:Z58"/>
    <mergeCell ref="AA58:AD58"/>
    <mergeCell ref="AE58:AG58"/>
    <mergeCell ref="A57:D57"/>
    <mergeCell ref="E57:W57"/>
    <mergeCell ref="X57:Z57"/>
    <mergeCell ref="AA57:AD57"/>
    <mergeCell ref="AE55:AG55"/>
    <mergeCell ref="A56:D56"/>
    <mergeCell ref="E56:W56"/>
    <mergeCell ref="X56:Z56"/>
    <mergeCell ref="AA56:AD56"/>
    <mergeCell ref="AE56:AG56"/>
    <mergeCell ref="A55:D55"/>
    <mergeCell ref="E55:W55"/>
    <mergeCell ref="X55:Z55"/>
    <mergeCell ref="AA55:AD55"/>
    <mergeCell ref="AE53:AG53"/>
    <mergeCell ref="A54:D54"/>
    <mergeCell ref="E54:W54"/>
    <mergeCell ref="X54:Z54"/>
    <mergeCell ref="AA54:AD54"/>
    <mergeCell ref="AE54:AG54"/>
    <mergeCell ref="A53:D53"/>
    <mergeCell ref="E53:W53"/>
    <mergeCell ref="X53:Z53"/>
    <mergeCell ref="AA53:AD53"/>
    <mergeCell ref="AE51:AG51"/>
    <mergeCell ref="A52:D52"/>
    <mergeCell ref="E52:W52"/>
    <mergeCell ref="X52:Z52"/>
    <mergeCell ref="AA52:AD52"/>
    <mergeCell ref="AE52:AG52"/>
    <mergeCell ref="A51:D51"/>
    <mergeCell ref="E51:W51"/>
    <mergeCell ref="X51:Z51"/>
    <mergeCell ref="AA51:AD51"/>
    <mergeCell ref="AE49:AG49"/>
    <mergeCell ref="A50:D50"/>
    <mergeCell ref="E50:W50"/>
    <mergeCell ref="X50:Z50"/>
    <mergeCell ref="AA50:AD50"/>
    <mergeCell ref="AE50:AG50"/>
    <mergeCell ref="A49:D49"/>
    <mergeCell ref="E49:W49"/>
    <mergeCell ref="X49:Z49"/>
    <mergeCell ref="AA49:AD49"/>
    <mergeCell ref="AE47:AG47"/>
    <mergeCell ref="A48:D48"/>
    <mergeCell ref="E48:W48"/>
    <mergeCell ref="X48:Z48"/>
    <mergeCell ref="AA48:AD48"/>
    <mergeCell ref="AE48:AG48"/>
    <mergeCell ref="A47:D47"/>
    <mergeCell ref="E47:W47"/>
    <mergeCell ref="X47:Z47"/>
    <mergeCell ref="AA47:AD47"/>
    <mergeCell ref="AE45:AG45"/>
    <mergeCell ref="A46:D46"/>
    <mergeCell ref="E46:W46"/>
    <mergeCell ref="X46:Z46"/>
    <mergeCell ref="AA46:AD46"/>
    <mergeCell ref="AE46:AG46"/>
    <mergeCell ref="A45:D45"/>
    <mergeCell ref="E45:W45"/>
    <mergeCell ref="X45:Z45"/>
    <mergeCell ref="AA45:AD45"/>
    <mergeCell ref="AE43:AG43"/>
    <mergeCell ref="A44:D44"/>
    <mergeCell ref="E44:W44"/>
    <mergeCell ref="X44:Z44"/>
    <mergeCell ref="AA44:AD44"/>
    <mergeCell ref="AE44:AG44"/>
    <mergeCell ref="A43:D43"/>
    <mergeCell ref="E43:W43"/>
    <mergeCell ref="X43:Z43"/>
    <mergeCell ref="AA43:AD43"/>
    <mergeCell ref="AE41:AG41"/>
    <mergeCell ref="A42:D42"/>
    <mergeCell ref="E42:W42"/>
    <mergeCell ref="X42:Z42"/>
    <mergeCell ref="AA42:AD42"/>
    <mergeCell ref="AE42:AG42"/>
    <mergeCell ref="A41:D41"/>
    <mergeCell ref="E41:W41"/>
    <mergeCell ref="X41:Z41"/>
    <mergeCell ref="AA41:AD41"/>
    <mergeCell ref="AE39:AG39"/>
    <mergeCell ref="A40:D40"/>
    <mergeCell ref="E40:W40"/>
    <mergeCell ref="X40:Z40"/>
    <mergeCell ref="AA40:AD40"/>
    <mergeCell ref="AE40:AG40"/>
    <mergeCell ref="A39:D39"/>
    <mergeCell ref="E39:W39"/>
    <mergeCell ref="X39:Z39"/>
    <mergeCell ref="AA39:AD39"/>
    <mergeCell ref="AE37:AG37"/>
    <mergeCell ref="A38:D38"/>
    <mergeCell ref="E38:W38"/>
    <mergeCell ref="X38:Z38"/>
    <mergeCell ref="AA38:AD38"/>
    <mergeCell ref="AE38:AG38"/>
    <mergeCell ref="A37:D37"/>
    <mergeCell ref="E37:W37"/>
    <mergeCell ref="X37:Z37"/>
    <mergeCell ref="AA37:AD37"/>
    <mergeCell ref="A36:W36"/>
    <mergeCell ref="X36:Z36"/>
    <mergeCell ref="AA36:AD36"/>
    <mergeCell ref="AE36:AG36"/>
    <mergeCell ref="A35:W35"/>
    <mergeCell ref="X35:Z35"/>
    <mergeCell ref="AA35:AD35"/>
    <mergeCell ref="AE35:AG35"/>
    <mergeCell ref="A34:W34"/>
    <mergeCell ref="X34:Z34"/>
    <mergeCell ref="AA34:AD34"/>
    <mergeCell ref="AE34:AG34"/>
    <mergeCell ref="A33:W33"/>
    <mergeCell ref="X33:Z33"/>
    <mergeCell ref="AA33:AD33"/>
    <mergeCell ref="AE33:AG33"/>
    <mergeCell ref="A32:W32"/>
    <mergeCell ref="X32:Z32"/>
    <mergeCell ref="AA32:AD32"/>
    <mergeCell ref="AE32:AG32"/>
    <mergeCell ref="A31:W31"/>
    <mergeCell ref="X31:Z31"/>
    <mergeCell ref="AA31:AD31"/>
    <mergeCell ref="AE31:AG31"/>
    <mergeCell ref="A30:W30"/>
    <mergeCell ref="X30:Z30"/>
    <mergeCell ref="AA30:AD30"/>
    <mergeCell ref="AE30:AG30"/>
    <mergeCell ref="A29:W29"/>
    <mergeCell ref="X29:Z29"/>
    <mergeCell ref="AA29:AD29"/>
    <mergeCell ref="AE29:AG29"/>
    <mergeCell ref="A26:C26"/>
    <mergeCell ref="D26:AG26"/>
    <mergeCell ref="A27:AG27"/>
    <mergeCell ref="A28:W28"/>
    <mergeCell ref="X28:Z28"/>
    <mergeCell ref="AA28:AD28"/>
    <mergeCell ref="AE28:AG28"/>
    <mergeCell ref="A24:C24"/>
    <mergeCell ref="D24:AG24"/>
    <mergeCell ref="A25:C25"/>
    <mergeCell ref="D25:AG25"/>
    <mergeCell ref="A22:C22"/>
    <mergeCell ref="D22:AG22"/>
    <mergeCell ref="A23:C23"/>
    <mergeCell ref="D23:AG23"/>
    <mergeCell ref="A20:C20"/>
    <mergeCell ref="D20:AG20"/>
    <mergeCell ref="A21:C21"/>
    <mergeCell ref="D21:AG21"/>
    <mergeCell ref="A18:C18"/>
    <mergeCell ref="D18:AG18"/>
    <mergeCell ref="A19:C19"/>
    <mergeCell ref="D19:AG19"/>
    <mergeCell ref="A15:AG15"/>
    <mergeCell ref="A16:C16"/>
    <mergeCell ref="D16:AG16"/>
    <mergeCell ref="A17:C17"/>
    <mergeCell ref="D17:AG17"/>
    <mergeCell ref="A13:C13"/>
    <mergeCell ref="D13:K13"/>
    <mergeCell ref="L13:AG13"/>
    <mergeCell ref="A14:C14"/>
    <mergeCell ref="D14:K14"/>
    <mergeCell ref="L14:AG14"/>
    <mergeCell ref="A11:AG11"/>
    <mergeCell ref="A12:C12"/>
    <mergeCell ref="D12:K12"/>
    <mergeCell ref="L12:AG12"/>
    <mergeCell ref="A9:C9"/>
    <mergeCell ref="D9:K9"/>
    <mergeCell ref="L9:AG9"/>
    <mergeCell ref="A10:C10"/>
    <mergeCell ref="D10:K10"/>
    <mergeCell ref="L10:AG10"/>
    <mergeCell ref="A7:AG7"/>
    <mergeCell ref="A8:C8"/>
    <mergeCell ref="D8:K8"/>
    <mergeCell ref="L8:AG8"/>
    <mergeCell ref="A6:C6"/>
    <mergeCell ref="D6:K6"/>
    <mergeCell ref="L6:R6"/>
    <mergeCell ref="S6:AG6"/>
    <mergeCell ref="A5:C5"/>
    <mergeCell ref="D5:K5"/>
    <mergeCell ref="L5:R5"/>
    <mergeCell ref="S5:AG5"/>
    <mergeCell ref="A3:F3"/>
    <mergeCell ref="G3:AF3"/>
    <mergeCell ref="A4:F4"/>
    <mergeCell ref="G4:AF4"/>
    <mergeCell ref="A1:F1"/>
    <mergeCell ref="G1:AF1"/>
    <mergeCell ref="A2:F2"/>
    <mergeCell ref="G2:AF2"/>
  </mergeCells>
  <printOptions/>
  <pageMargins left="0.7874015748031497" right="0.3937007874015748" top="0.5905511811023623" bottom="0.5905511811023623" header="0.31496062992125984" footer="0.31496062992125984"/>
  <pageSetup horizontalDpi="200" verticalDpi="2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535"/>
  <sheetViews>
    <sheetView workbookViewId="0" topLeftCell="A1">
      <selection activeCell="J6" sqref="J6:AS6"/>
    </sheetView>
  </sheetViews>
  <sheetFormatPr defaultColWidth="9.140625" defaultRowHeight="12.75"/>
  <cols>
    <col min="1" max="3" width="1.57421875" style="0" customWidth="1"/>
    <col min="4" max="4" width="4.57421875" style="0" customWidth="1"/>
    <col min="5" max="6" width="1.57421875" style="0" customWidth="1"/>
    <col min="7" max="7" width="5.8515625" style="0" customWidth="1"/>
    <col min="8" max="8" width="7.421875" style="0" customWidth="1"/>
    <col min="9" max="9" width="1.57421875" style="0" customWidth="1"/>
    <col min="10" max="10" width="5.8515625" style="0" customWidth="1"/>
    <col min="11" max="11" width="3.00390625" style="0" customWidth="1"/>
    <col min="12" max="13" width="1.57421875" style="0" customWidth="1"/>
    <col min="14" max="14" width="5.8515625" style="0" customWidth="1"/>
    <col min="15" max="17" width="1.57421875" style="0" customWidth="1"/>
    <col min="18" max="18" width="3.00390625" style="0" customWidth="1"/>
    <col min="19" max="24" width="1.57421875" style="0" customWidth="1"/>
    <col min="25" max="25" width="3.00390625" style="0" customWidth="1"/>
    <col min="26" max="26" width="1.57421875" style="0" customWidth="1"/>
    <col min="27" max="28" width="3.00390625" style="0" customWidth="1"/>
    <col min="29" max="29" width="5.8515625" style="0" customWidth="1"/>
    <col min="30" max="30" width="1.57421875" style="0" customWidth="1"/>
    <col min="31" max="31" width="7.421875" style="0" customWidth="1"/>
    <col min="32" max="32" width="1.57421875" style="0" customWidth="1"/>
    <col min="33" max="33" width="16.421875" style="0" customWidth="1"/>
    <col min="34" max="34" width="1.57421875" style="0" customWidth="1"/>
    <col min="35" max="35" width="3.00390625" style="0" customWidth="1"/>
    <col min="36" max="36" width="1.57421875" style="0" customWidth="1"/>
    <col min="37" max="37" width="9.00390625" style="0" customWidth="1"/>
    <col min="38" max="38" width="4.57421875" style="0" customWidth="1"/>
    <col min="39" max="40" width="3.00390625" style="0" customWidth="1"/>
    <col min="41" max="42" width="1.57421875" style="0" customWidth="1"/>
    <col min="43" max="43" width="7.421875" style="0" customWidth="1"/>
    <col min="44" max="44" width="0.71875" style="0" customWidth="1"/>
    <col min="45" max="45" width="8.140625" style="0" customWidth="1"/>
  </cols>
  <sheetData>
    <row r="1" spans="1:45" ht="13.5" thickBot="1">
      <c r="A1" s="389" t="s">
        <v>2314</v>
      </c>
      <c r="B1" s="389"/>
      <c r="C1" s="389"/>
      <c r="D1" s="389"/>
      <c r="E1" s="389"/>
      <c r="F1" s="389"/>
      <c r="G1" s="389"/>
      <c r="H1" s="389"/>
      <c r="I1" s="389"/>
      <c r="J1" s="390" t="s">
        <v>2315</v>
      </c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</row>
    <row r="2" spans="1:45" ht="12.75" customHeight="1">
      <c r="A2" s="371"/>
      <c r="B2" s="371"/>
      <c r="C2" s="371"/>
      <c r="D2" s="371"/>
      <c r="E2" s="371"/>
      <c r="F2" s="371"/>
      <c r="G2" s="371"/>
      <c r="H2" s="371"/>
      <c r="I2" s="371"/>
      <c r="J2" s="348" t="s">
        <v>2316</v>
      </c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91" t="s">
        <v>2317</v>
      </c>
      <c r="AP2" s="391"/>
      <c r="AQ2" s="391"/>
      <c r="AR2" s="391"/>
      <c r="AS2" s="391"/>
    </row>
    <row r="3" spans="1:45" ht="20.25" customHeight="1">
      <c r="A3" s="343"/>
      <c r="B3" s="343"/>
      <c r="C3" s="343"/>
      <c r="D3" s="343"/>
      <c r="E3" s="343"/>
      <c r="F3" s="343"/>
      <c r="G3" s="343"/>
      <c r="H3" s="343"/>
      <c r="I3" s="343"/>
      <c r="J3" s="341" t="s">
        <v>2318</v>
      </c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</row>
    <row r="4" spans="1:45" ht="12.75">
      <c r="A4" s="343"/>
      <c r="B4" s="343"/>
      <c r="C4" s="392"/>
      <c r="D4" s="392"/>
      <c r="E4" s="392"/>
      <c r="F4" s="392"/>
      <c r="G4" s="392"/>
      <c r="H4" s="392"/>
      <c r="I4" s="392"/>
      <c r="J4" s="348" t="s">
        <v>2319</v>
      </c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</row>
    <row r="5" spans="1:45" ht="12.75">
      <c r="A5" s="343"/>
      <c r="B5" s="343"/>
      <c r="C5" s="343"/>
      <c r="D5" s="343"/>
      <c r="E5" s="343"/>
      <c r="F5" s="343"/>
      <c r="G5" s="343"/>
      <c r="H5" s="343"/>
      <c r="I5" s="343"/>
      <c r="J5" s="393" t="s">
        <v>2320</v>
      </c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  <c r="AP5" s="393"/>
      <c r="AQ5" s="393"/>
      <c r="AR5" s="393"/>
      <c r="AS5" s="393"/>
    </row>
    <row r="6" spans="1:45" ht="12.75">
      <c r="A6" s="343"/>
      <c r="B6" s="343"/>
      <c r="C6" s="343"/>
      <c r="D6" s="343"/>
      <c r="E6" s="343"/>
      <c r="F6" s="343"/>
      <c r="G6" s="343"/>
      <c r="H6" s="343"/>
      <c r="I6" s="343"/>
      <c r="J6" s="343" t="s">
        <v>2321</v>
      </c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3"/>
      <c r="AS6" s="343"/>
    </row>
    <row r="7" spans="1:45" ht="12.75">
      <c r="A7" s="371"/>
      <c r="B7" s="371"/>
      <c r="C7" s="371"/>
      <c r="D7" s="371"/>
      <c r="E7" s="371"/>
      <c r="F7" s="371"/>
      <c r="G7" s="371"/>
      <c r="H7" s="371"/>
      <c r="I7" s="371"/>
      <c r="J7" s="394" t="s">
        <v>2322</v>
      </c>
      <c r="K7" s="394"/>
      <c r="L7" s="394" t="s">
        <v>2323</v>
      </c>
      <c r="M7" s="394"/>
      <c r="N7" s="394"/>
      <c r="O7" s="394" t="s">
        <v>2324</v>
      </c>
      <c r="P7" s="394"/>
      <c r="Q7" s="394"/>
      <c r="R7" s="394"/>
      <c r="S7" s="394"/>
      <c r="T7" s="394"/>
      <c r="U7" s="394"/>
      <c r="V7" s="394"/>
      <c r="W7" s="394"/>
      <c r="X7" s="394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</row>
    <row r="8" spans="1:45" ht="12.75">
      <c r="A8" s="343"/>
      <c r="B8" s="343"/>
      <c r="C8" s="343"/>
      <c r="D8" s="343"/>
      <c r="E8" s="343"/>
      <c r="F8" s="343"/>
      <c r="G8" s="343"/>
      <c r="H8" s="343"/>
      <c r="I8" s="343"/>
      <c r="J8" s="396" t="s">
        <v>2325</v>
      </c>
      <c r="K8" s="396"/>
      <c r="L8" s="396" t="s">
        <v>1646</v>
      </c>
      <c r="M8" s="396"/>
      <c r="N8" s="396"/>
      <c r="O8" s="396" t="s">
        <v>1544</v>
      </c>
      <c r="P8" s="396"/>
      <c r="Q8" s="396"/>
      <c r="R8" s="396"/>
      <c r="S8" s="396"/>
      <c r="T8" s="396"/>
      <c r="U8" s="396"/>
      <c r="V8" s="396"/>
      <c r="W8" s="396"/>
      <c r="X8" s="396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</row>
    <row r="9" spans="1:45" ht="12.75" customHeight="1">
      <c r="A9" s="343" t="s">
        <v>2326</v>
      </c>
      <c r="B9" s="343"/>
      <c r="C9" s="343"/>
      <c r="D9" s="343"/>
      <c r="E9" s="343"/>
      <c r="F9" s="343"/>
      <c r="G9" s="343"/>
      <c r="H9" s="343"/>
      <c r="I9" s="343"/>
      <c r="J9" s="343" t="s">
        <v>2327</v>
      </c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4" t="s">
        <v>1540</v>
      </c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</row>
    <row r="10" spans="1:45" ht="12.75">
      <c r="A10" s="343" t="s">
        <v>1546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8" t="s">
        <v>1549</v>
      </c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</row>
    <row r="11" spans="1:45" ht="12.75">
      <c r="A11" s="343"/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8" t="s">
        <v>2328</v>
      </c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348"/>
      <c r="AS11" s="348"/>
    </row>
    <row r="12" spans="1:45" ht="13.5" thickBot="1">
      <c r="A12" s="397" t="s">
        <v>2329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</row>
    <row r="13" spans="1:45" ht="9" customHeight="1">
      <c r="A13" s="350" t="s">
        <v>2330</v>
      </c>
      <c r="B13" s="350"/>
      <c r="C13" s="350"/>
      <c r="D13" s="350"/>
      <c r="E13" s="350" t="s">
        <v>2287</v>
      </c>
      <c r="F13" s="350"/>
      <c r="G13" s="350"/>
      <c r="H13" s="350" t="s">
        <v>1574</v>
      </c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1" t="s">
        <v>1575</v>
      </c>
      <c r="AA13" s="351"/>
      <c r="AB13" s="351"/>
      <c r="AC13" s="351"/>
      <c r="AD13" s="351"/>
      <c r="AE13" s="351"/>
      <c r="AF13" s="351" t="s">
        <v>1576</v>
      </c>
      <c r="AG13" s="351"/>
      <c r="AH13" s="351"/>
      <c r="AI13" s="351"/>
      <c r="AJ13" s="351" t="s">
        <v>2331</v>
      </c>
      <c r="AK13" s="351"/>
      <c r="AL13" s="351"/>
      <c r="AM13" s="351"/>
      <c r="AN13" s="351"/>
      <c r="AO13" s="351"/>
      <c r="AP13" s="351" t="s">
        <v>2332</v>
      </c>
      <c r="AQ13" s="351"/>
      <c r="AR13" s="351" t="s">
        <v>2333</v>
      </c>
      <c r="AS13" s="351"/>
    </row>
    <row r="14" spans="1:45" ht="9" customHeight="1" thickBot="1">
      <c r="A14" s="398" t="s">
        <v>2334</v>
      </c>
      <c r="B14" s="398"/>
      <c r="C14" s="398"/>
      <c r="D14" s="398"/>
      <c r="E14" s="398" t="s">
        <v>2335</v>
      </c>
      <c r="F14" s="398"/>
      <c r="G14" s="398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 t="s">
        <v>1659</v>
      </c>
      <c r="AA14" s="399"/>
      <c r="AB14" s="399"/>
      <c r="AC14" s="399"/>
      <c r="AD14" s="399"/>
      <c r="AE14" s="399"/>
      <c r="AF14" s="399" t="s">
        <v>1729</v>
      </c>
      <c r="AG14" s="399"/>
      <c r="AH14" s="399"/>
      <c r="AI14" s="399"/>
      <c r="AJ14" s="399" t="s">
        <v>2336</v>
      </c>
      <c r="AK14" s="399"/>
      <c r="AL14" s="399"/>
      <c r="AM14" s="399"/>
      <c r="AN14" s="399"/>
      <c r="AO14" s="399"/>
      <c r="AP14" s="399"/>
      <c r="AQ14" s="399"/>
      <c r="AR14" s="399"/>
      <c r="AS14" s="399"/>
    </row>
    <row r="15" spans="1:45" ht="4.5" customHeight="1">
      <c r="A15" s="400"/>
      <c r="B15" s="400"/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1"/>
      <c r="AA15" s="401"/>
      <c r="AB15" s="401"/>
      <c r="AC15" s="401"/>
      <c r="AD15" s="401"/>
      <c r="AE15" s="401"/>
      <c r="AF15" s="401"/>
      <c r="AG15" s="401"/>
      <c r="AH15" s="401"/>
      <c r="AI15" s="401"/>
      <c r="AJ15" s="401"/>
      <c r="AK15" s="401"/>
      <c r="AL15" s="401"/>
      <c r="AM15" s="401"/>
      <c r="AN15" s="401"/>
      <c r="AO15" s="401"/>
      <c r="AP15" s="402"/>
      <c r="AQ15" s="402"/>
      <c r="AR15" s="402"/>
      <c r="AS15" s="402"/>
    </row>
    <row r="16" spans="1:45" ht="10.5" customHeight="1">
      <c r="A16" s="343" t="s">
        <v>2337</v>
      </c>
      <c r="B16" s="343"/>
      <c r="C16" s="343"/>
      <c r="D16" s="343"/>
      <c r="E16" s="348" t="s">
        <v>1603</v>
      </c>
      <c r="F16" s="348"/>
      <c r="G16" s="348"/>
      <c r="H16" s="343" t="s">
        <v>1604</v>
      </c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52" t="s">
        <v>1605</v>
      </c>
      <c r="AA16" s="352"/>
      <c r="AB16" s="352"/>
      <c r="AC16" s="352"/>
      <c r="AD16" s="352"/>
      <c r="AE16" s="352"/>
      <c r="AF16" s="352" t="s">
        <v>1605</v>
      </c>
      <c r="AG16" s="352"/>
      <c r="AH16" s="352"/>
      <c r="AI16" s="352"/>
      <c r="AJ16" s="352" t="s">
        <v>1606</v>
      </c>
      <c r="AK16" s="352"/>
      <c r="AL16" s="352"/>
      <c r="AM16" s="352"/>
      <c r="AN16" s="352"/>
      <c r="AO16" s="352"/>
      <c r="AP16" s="403" t="s">
        <v>2338</v>
      </c>
      <c r="AQ16" s="403"/>
      <c r="AR16" s="403" t="s">
        <v>2338</v>
      </c>
      <c r="AS16" s="403"/>
    </row>
    <row r="17" spans="1:45" ht="10.5" customHeight="1">
      <c r="A17" s="343" t="s">
        <v>2337</v>
      </c>
      <c r="B17" s="343"/>
      <c r="C17" s="343"/>
      <c r="D17" s="343"/>
      <c r="E17" s="348" t="s">
        <v>1607</v>
      </c>
      <c r="F17" s="348"/>
      <c r="G17" s="348"/>
      <c r="H17" s="343" t="s">
        <v>1608</v>
      </c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52" t="s">
        <v>1609</v>
      </c>
      <c r="AA17" s="352"/>
      <c r="AB17" s="352"/>
      <c r="AC17" s="352"/>
      <c r="AD17" s="352"/>
      <c r="AE17" s="352"/>
      <c r="AF17" s="352" t="s">
        <v>1609</v>
      </c>
      <c r="AG17" s="352"/>
      <c r="AH17" s="352"/>
      <c r="AI17" s="352"/>
      <c r="AJ17" s="352" t="s">
        <v>1610</v>
      </c>
      <c r="AK17" s="352"/>
      <c r="AL17" s="352"/>
      <c r="AM17" s="352"/>
      <c r="AN17" s="352"/>
      <c r="AO17" s="352"/>
      <c r="AP17" s="403" t="s">
        <v>2339</v>
      </c>
      <c r="AQ17" s="403"/>
      <c r="AR17" s="403" t="s">
        <v>2339</v>
      </c>
      <c r="AS17" s="403"/>
    </row>
    <row r="18" spans="1:45" ht="10.5" customHeight="1">
      <c r="A18" s="343" t="s">
        <v>2337</v>
      </c>
      <c r="B18" s="343"/>
      <c r="C18" s="343"/>
      <c r="D18" s="343"/>
      <c r="E18" s="348" t="s">
        <v>1611</v>
      </c>
      <c r="F18" s="348"/>
      <c r="G18" s="348"/>
      <c r="H18" s="343" t="s">
        <v>1612</v>
      </c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52" t="s">
        <v>1613</v>
      </c>
      <c r="AA18" s="352"/>
      <c r="AB18" s="352"/>
      <c r="AC18" s="352"/>
      <c r="AD18" s="352"/>
      <c r="AE18" s="352"/>
      <c r="AF18" s="352" t="s">
        <v>1614</v>
      </c>
      <c r="AG18" s="352"/>
      <c r="AH18" s="352"/>
      <c r="AI18" s="352"/>
      <c r="AJ18" s="352" t="s">
        <v>1615</v>
      </c>
      <c r="AK18" s="352"/>
      <c r="AL18" s="352"/>
      <c r="AM18" s="352"/>
      <c r="AN18" s="352"/>
      <c r="AO18" s="352"/>
      <c r="AP18" s="403" t="s">
        <v>2340</v>
      </c>
      <c r="AQ18" s="403"/>
      <c r="AR18" s="403" t="s">
        <v>2341</v>
      </c>
      <c r="AS18" s="403"/>
    </row>
    <row r="19" spans="1:45" ht="10.5" customHeight="1">
      <c r="A19" s="343" t="s">
        <v>2337</v>
      </c>
      <c r="B19" s="343"/>
      <c r="C19" s="343"/>
      <c r="D19" s="343"/>
      <c r="E19" s="348" t="s">
        <v>1616</v>
      </c>
      <c r="F19" s="348"/>
      <c r="G19" s="348"/>
      <c r="H19" s="343" t="s">
        <v>1617</v>
      </c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52" t="s">
        <v>1618</v>
      </c>
      <c r="AA19" s="352"/>
      <c r="AB19" s="352"/>
      <c r="AC19" s="352"/>
      <c r="AD19" s="352"/>
      <c r="AE19" s="352"/>
      <c r="AF19" s="352" t="s">
        <v>1618</v>
      </c>
      <c r="AG19" s="352"/>
      <c r="AH19" s="352"/>
      <c r="AI19" s="352"/>
      <c r="AJ19" s="352" t="s">
        <v>1619</v>
      </c>
      <c r="AK19" s="352"/>
      <c r="AL19" s="352"/>
      <c r="AM19" s="352"/>
      <c r="AN19" s="352"/>
      <c r="AO19" s="352"/>
      <c r="AP19" s="403" t="s">
        <v>2342</v>
      </c>
      <c r="AQ19" s="403"/>
      <c r="AR19" s="403" t="s">
        <v>2342</v>
      </c>
      <c r="AS19" s="403"/>
    </row>
    <row r="20" spans="1:45" ht="10.5" customHeight="1">
      <c r="A20" s="343" t="s">
        <v>2337</v>
      </c>
      <c r="B20" s="343"/>
      <c r="C20" s="343"/>
      <c r="D20" s="343"/>
      <c r="E20" s="348" t="s">
        <v>1620</v>
      </c>
      <c r="F20" s="348"/>
      <c r="G20" s="348"/>
      <c r="H20" s="343" t="s">
        <v>1621</v>
      </c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52" t="s">
        <v>1605</v>
      </c>
      <c r="AA20" s="352"/>
      <c r="AB20" s="352"/>
      <c r="AC20" s="352"/>
      <c r="AD20" s="352"/>
      <c r="AE20" s="352"/>
      <c r="AF20" s="352" t="s">
        <v>1622</v>
      </c>
      <c r="AG20" s="352"/>
      <c r="AH20" s="352"/>
      <c r="AI20" s="352"/>
      <c r="AJ20" s="352" t="s">
        <v>1623</v>
      </c>
      <c r="AK20" s="352"/>
      <c r="AL20" s="352"/>
      <c r="AM20" s="352"/>
      <c r="AN20" s="352"/>
      <c r="AO20" s="352"/>
      <c r="AP20" s="403" t="s">
        <v>2343</v>
      </c>
      <c r="AQ20" s="403"/>
      <c r="AR20" s="403" t="s">
        <v>2344</v>
      </c>
      <c r="AS20" s="403"/>
    </row>
    <row r="21" spans="1:45" ht="10.5" customHeight="1">
      <c r="A21" s="343" t="s">
        <v>2337</v>
      </c>
      <c r="B21" s="343"/>
      <c r="C21" s="343"/>
      <c r="D21" s="343"/>
      <c r="E21" s="348" t="s">
        <v>1624</v>
      </c>
      <c r="F21" s="348"/>
      <c r="G21" s="348"/>
      <c r="H21" s="343" t="s">
        <v>1625</v>
      </c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52" t="s">
        <v>1626</v>
      </c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403"/>
      <c r="AQ21" s="403"/>
      <c r="AR21" s="403" t="s">
        <v>2345</v>
      </c>
      <c r="AS21" s="403"/>
    </row>
    <row r="22" spans="1:45" ht="10.5" customHeight="1">
      <c r="A22" s="343" t="s">
        <v>2337</v>
      </c>
      <c r="B22" s="343"/>
      <c r="C22" s="343"/>
      <c r="D22" s="343"/>
      <c r="E22" s="348" t="s">
        <v>1632</v>
      </c>
      <c r="F22" s="348"/>
      <c r="G22" s="348"/>
      <c r="H22" s="343" t="s">
        <v>2346</v>
      </c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52" t="s">
        <v>1634</v>
      </c>
      <c r="AA22" s="352"/>
      <c r="AB22" s="352"/>
      <c r="AC22" s="352"/>
      <c r="AD22" s="352"/>
      <c r="AE22" s="352"/>
      <c r="AF22" s="352" t="s">
        <v>1635</v>
      </c>
      <c r="AG22" s="352"/>
      <c r="AH22" s="352"/>
      <c r="AI22" s="352"/>
      <c r="AJ22" s="352" t="s">
        <v>1636</v>
      </c>
      <c r="AK22" s="352"/>
      <c r="AL22" s="352"/>
      <c r="AM22" s="352"/>
      <c r="AN22" s="352"/>
      <c r="AO22" s="352"/>
      <c r="AP22" s="403" t="s">
        <v>2347</v>
      </c>
      <c r="AQ22" s="403"/>
      <c r="AR22" s="403" t="s">
        <v>2348</v>
      </c>
      <c r="AS22" s="403"/>
    </row>
    <row r="23" spans="1:45" ht="10.5" customHeight="1">
      <c r="A23" s="343" t="s">
        <v>2337</v>
      </c>
      <c r="B23" s="343"/>
      <c r="C23" s="343"/>
      <c r="D23" s="343"/>
      <c r="E23" s="348" t="s">
        <v>1639</v>
      </c>
      <c r="F23" s="348"/>
      <c r="G23" s="348"/>
      <c r="H23" s="343" t="s">
        <v>1640</v>
      </c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52" t="s">
        <v>1641</v>
      </c>
      <c r="AA23" s="352"/>
      <c r="AB23" s="352"/>
      <c r="AC23" s="352"/>
      <c r="AD23" s="352"/>
      <c r="AE23" s="352"/>
      <c r="AF23" s="352" t="s">
        <v>1642</v>
      </c>
      <c r="AG23" s="352"/>
      <c r="AH23" s="352"/>
      <c r="AI23" s="352"/>
      <c r="AJ23" s="352" t="s">
        <v>1643</v>
      </c>
      <c r="AK23" s="352"/>
      <c r="AL23" s="352"/>
      <c r="AM23" s="352"/>
      <c r="AN23" s="352"/>
      <c r="AO23" s="352"/>
      <c r="AP23" s="403" t="s">
        <v>2349</v>
      </c>
      <c r="AQ23" s="403"/>
      <c r="AR23" s="403" t="s">
        <v>2350</v>
      </c>
      <c r="AS23" s="403"/>
    </row>
    <row r="24" spans="1:45" ht="10.5" customHeight="1">
      <c r="A24" s="343" t="s">
        <v>2337</v>
      </c>
      <c r="B24" s="343"/>
      <c r="C24" s="343"/>
      <c r="D24" s="343"/>
      <c r="E24" s="348" t="s">
        <v>1651</v>
      </c>
      <c r="F24" s="348"/>
      <c r="G24" s="348"/>
      <c r="H24" s="343" t="s">
        <v>1652</v>
      </c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52" t="s">
        <v>1653</v>
      </c>
      <c r="AA24" s="352"/>
      <c r="AB24" s="352"/>
      <c r="AC24" s="352"/>
      <c r="AD24" s="352"/>
      <c r="AE24" s="352"/>
      <c r="AF24" s="352" t="s">
        <v>1653</v>
      </c>
      <c r="AG24" s="352"/>
      <c r="AH24" s="352"/>
      <c r="AI24" s="352"/>
      <c r="AJ24" s="352" t="s">
        <v>1654</v>
      </c>
      <c r="AK24" s="352"/>
      <c r="AL24" s="352"/>
      <c r="AM24" s="352"/>
      <c r="AN24" s="352"/>
      <c r="AO24" s="352"/>
      <c r="AP24" s="403" t="s">
        <v>2351</v>
      </c>
      <c r="AQ24" s="403"/>
      <c r="AR24" s="403" t="s">
        <v>2351</v>
      </c>
      <c r="AS24" s="403"/>
    </row>
    <row r="25" spans="1:45" ht="10.5" customHeight="1">
      <c r="A25" s="343" t="s">
        <v>2337</v>
      </c>
      <c r="B25" s="343"/>
      <c r="C25" s="343"/>
      <c r="D25" s="343"/>
      <c r="E25" s="348" t="s">
        <v>1722</v>
      </c>
      <c r="F25" s="348"/>
      <c r="G25" s="348"/>
      <c r="H25" s="343" t="s">
        <v>2352</v>
      </c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 t="s">
        <v>1724</v>
      </c>
      <c r="AK25" s="352"/>
      <c r="AL25" s="352"/>
      <c r="AM25" s="352"/>
      <c r="AN25" s="352"/>
      <c r="AO25" s="352"/>
      <c r="AP25" s="403" t="s">
        <v>2345</v>
      </c>
      <c r="AQ25" s="403"/>
      <c r="AR25" s="403" t="s">
        <v>2345</v>
      </c>
      <c r="AS25" s="403"/>
    </row>
    <row r="26" spans="1:45" ht="10.5" customHeight="1">
      <c r="A26" s="343" t="s">
        <v>2337</v>
      </c>
      <c r="B26" s="343"/>
      <c r="C26" s="343"/>
      <c r="D26" s="343"/>
      <c r="E26" s="348" t="s">
        <v>1735</v>
      </c>
      <c r="F26" s="348"/>
      <c r="G26" s="348"/>
      <c r="H26" s="343" t="s">
        <v>2303</v>
      </c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52"/>
      <c r="AA26" s="352"/>
      <c r="AB26" s="352"/>
      <c r="AC26" s="352"/>
      <c r="AD26" s="352"/>
      <c r="AE26" s="352"/>
      <c r="AF26" s="352" t="s">
        <v>1737</v>
      </c>
      <c r="AG26" s="352"/>
      <c r="AH26" s="352"/>
      <c r="AI26" s="352"/>
      <c r="AJ26" s="352" t="s">
        <v>1738</v>
      </c>
      <c r="AK26" s="352"/>
      <c r="AL26" s="352"/>
      <c r="AM26" s="352"/>
      <c r="AN26" s="352"/>
      <c r="AO26" s="352"/>
      <c r="AP26" s="403" t="s">
        <v>2345</v>
      </c>
      <c r="AQ26" s="403"/>
      <c r="AR26" s="403" t="s">
        <v>2353</v>
      </c>
      <c r="AS26" s="403"/>
    </row>
    <row r="27" spans="1:45" ht="10.5" customHeight="1">
      <c r="A27" s="343" t="s">
        <v>2337</v>
      </c>
      <c r="B27" s="343"/>
      <c r="C27" s="343"/>
      <c r="D27" s="343"/>
      <c r="E27" s="348" t="s">
        <v>1739</v>
      </c>
      <c r="F27" s="348"/>
      <c r="G27" s="348"/>
      <c r="H27" s="343" t="s">
        <v>2354</v>
      </c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52" t="s">
        <v>1741</v>
      </c>
      <c r="AA27" s="352"/>
      <c r="AB27" s="352"/>
      <c r="AC27" s="352"/>
      <c r="AD27" s="352"/>
      <c r="AE27" s="352"/>
      <c r="AF27" s="352" t="s">
        <v>1741</v>
      </c>
      <c r="AG27" s="352"/>
      <c r="AH27" s="352"/>
      <c r="AI27" s="352"/>
      <c r="AJ27" s="352" t="s">
        <v>1741</v>
      </c>
      <c r="AK27" s="352"/>
      <c r="AL27" s="352"/>
      <c r="AM27" s="352"/>
      <c r="AN27" s="352"/>
      <c r="AO27" s="352"/>
      <c r="AP27" s="403" t="s">
        <v>2353</v>
      </c>
      <c r="AQ27" s="403"/>
      <c r="AR27" s="403" t="s">
        <v>2353</v>
      </c>
      <c r="AS27" s="403"/>
    </row>
    <row r="28" spans="1:45" ht="10.5" customHeight="1">
      <c r="A28" s="343" t="s">
        <v>2337</v>
      </c>
      <c r="B28" s="343"/>
      <c r="C28" s="343"/>
      <c r="D28" s="343"/>
      <c r="E28" s="348" t="s">
        <v>1742</v>
      </c>
      <c r="F28" s="348"/>
      <c r="G28" s="348"/>
      <c r="H28" s="343" t="s">
        <v>2296</v>
      </c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52"/>
      <c r="AA28" s="352"/>
      <c r="AB28" s="352"/>
      <c r="AC28" s="352"/>
      <c r="AD28" s="352"/>
      <c r="AE28" s="352"/>
      <c r="AF28" s="352" t="s">
        <v>1744</v>
      </c>
      <c r="AG28" s="352"/>
      <c r="AH28" s="352"/>
      <c r="AI28" s="352"/>
      <c r="AJ28" s="352" t="s">
        <v>1745</v>
      </c>
      <c r="AK28" s="352"/>
      <c r="AL28" s="352"/>
      <c r="AM28" s="352"/>
      <c r="AN28" s="352"/>
      <c r="AO28" s="352"/>
      <c r="AP28" s="403" t="s">
        <v>2345</v>
      </c>
      <c r="AQ28" s="403"/>
      <c r="AR28" s="403" t="s">
        <v>2353</v>
      </c>
      <c r="AS28" s="403"/>
    </row>
    <row r="29" spans="1:45" ht="10.5" customHeight="1">
      <c r="A29" s="343" t="s">
        <v>2337</v>
      </c>
      <c r="B29" s="343"/>
      <c r="C29" s="343"/>
      <c r="D29" s="343"/>
      <c r="E29" s="348" t="s">
        <v>1750</v>
      </c>
      <c r="F29" s="348"/>
      <c r="G29" s="348"/>
      <c r="H29" s="343" t="s">
        <v>1751</v>
      </c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52" t="s">
        <v>1752</v>
      </c>
      <c r="AA29" s="352"/>
      <c r="AB29" s="352"/>
      <c r="AC29" s="352"/>
      <c r="AD29" s="352"/>
      <c r="AE29" s="352"/>
      <c r="AF29" s="352" t="s">
        <v>1753</v>
      </c>
      <c r="AG29" s="352"/>
      <c r="AH29" s="352"/>
      <c r="AI29" s="352"/>
      <c r="AJ29" s="352" t="s">
        <v>1754</v>
      </c>
      <c r="AK29" s="352"/>
      <c r="AL29" s="352"/>
      <c r="AM29" s="352"/>
      <c r="AN29" s="352"/>
      <c r="AO29" s="352"/>
      <c r="AP29" s="403" t="s">
        <v>2355</v>
      </c>
      <c r="AQ29" s="403"/>
      <c r="AR29" s="403" t="s">
        <v>2353</v>
      </c>
      <c r="AS29" s="403"/>
    </row>
    <row r="30" spans="1:45" ht="10.5" customHeight="1">
      <c r="A30" s="343" t="s">
        <v>2337</v>
      </c>
      <c r="B30" s="343"/>
      <c r="C30" s="343"/>
      <c r="D30" s="343"/>
      <c r="E30" s="348" t="s">
        <v>1757</v>
      </c>
      <c r="F30" s="348"/>
      <c r="G30" s="348"/>
      <c r="H30" s="343" t="s">
        <v>2356</v>
      </c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52" t="s">
        <v>1759</v>
      </c>
      <c r="AA30" s="352"/>
      <c r="AB30" s="352"/>
      <c r="AC30" s="352"/>
      <c r="AD30" s="352"/>
      <c r="AE30" s="352"/>
      <c r="AF30" s="352" t="s">
        <v>1760</v>
      </c>
      <c r="AG30" s="352"/>
      <c r="AH30" s="352"/>
      <c r="AI30" s="352"/>
      <c r="AJ30" s="352" t="s">
        <v>1760</v>
      </c>
      <c r="AK30" s="352"/>
      <c r="AL30" s="352"/>
      <c r="AM30" s="352"/>
      <c r="AN30" s="352"/>
      <c r="AO30" s="352"/>
      <c r="AP30" s="403" t="s">
        <v>2357</v>
      </c>
      <c r="AQ30" s="403"/>
      <c r="AR30" s="403" t="s">
        <v>2353</v>
      </c>
      <c r="AS30" s="403"/>
    </row>
    <row r="31" spans="1:45" ht="10.5" customHeight="1">
      <c r="A31" s="343" t="s">
        <v>2337</v>
      </c>
      <c r="B31" s="343"/>
      <c r="C31" s="343"/>
      <c r="D31" s="343"/>
      <c r="E31" s="348" t="s">
        <v>1761</v>
      </c>
      <c r="F31" s="348"/>
      <c r="G31" s="348"/>
      <c r="H31" s="343" t="s">
        <v>1762</v>
      </c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52" t="s">
        <v>1596</v>
      </c>
      <c r="AA31" s="352"/>
      <c r="AB31" s="352"/>
      <c r="AC31" s="352"/>
      <c r="AD31" s="352"/>
      <c r="AE31" s="352"/>
      <c r="AF31" s="352" t="s">
        <v>1596</v>
      </c>
      <c r="AG31" s="352"/>
      <c r="AH31" s="352"/>
      <c r="AI31" s="352"/>
      <c r="AJ31" s="352" t="s">
        <v>1597</v>
      </c>
      <c r="AK31" s="352"/>
      <c r="AL31" s="352"/>
      <c r="AM31" s="352"/>
      <c r="AN31" s="352"/>
      <c r="AO31" s="352"/>
      <c r="AP31" s="403" t="s">
        <v>2358</v>
      </c>
      <c r="AQ31" s="403"/>
      <c r="AR31" s="403" t="s">
        <v>2358</v>
      </c>
      <c r="AS31" s="403"/>
    </row>
    <row r="32" spans="1:45" ht="10.5" customHeight="1">
      <c r="A32" s="343" t="s">
        <v>2337</v>
      </c>
      <c r="B32" s="343"/>
      <c r="C32" s="343"/>
      <c r="D32" s="343"/>
      <c r="E32" s="348" t="s">
        <v>1768</v>
      </c>
      <c r="F32" s="348"/>
      <c r="G32" s="348"/>
      <c r="H32" s="343" t="s">
        <v>2359</v>
      </c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52"/>
      <c r="AA32" s="352"/>
      <c r="AB32" s="352"/>
      <c r="AC32" s="352"/>
      <c r="AD32" s="352"/>
      <c r="AE32" s="352"/>
      <c r="AF32" s="352" t="s">
        <v>1770</v>
      </c>
      <c r="AG32" s="352"/>
      <c r="AH32" s="352"/>
      <c r="AI32" s="352"/>
      <c r="AJ32" s="352" t="s">
        <v>1771</v>
      </c>
      <c r="AK32" s="352"/>
      <c r="AL32" s="352"/>
      <c r="AM32" s="352"/>
      <c r="AN32" s="352"/>
      <c r="AO32" s="352"/>
      <c r="AP32" s="403" t="s">
        <v>2345</v>
      </c>
      <c r="AQ32" s="403"/>
      <c r="AR32" s="403" t="s">
        <v>2360</v>
      </c>
      <c r="AS32" s="403"/>
    </row>
    <row r="33" spans="1:45" ht="10.5" customHeight="1">
      <c r="A33" s="343" t="s">
        <v>2337</v>
      </c>
      <c r="B33" s="343"/>
      <c r="C33" s="343"/>
      <c r="D33" s="343"/>
      <c r="E33" s="348" t="s">
        <v>1778</v>
      </c>
      <c r="F33" s="348"/>
      <c r="G33" s="348"/>
      <c r="H33" s="343" t="s">
        <v>1779</v>
      </c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52"/>
      <c r="AA33" s="352"/>
      <c r="AB33" s="352"/>
      <c r="AC33" s="352"/>
      <c r="AD33" s="352"/>
      <c r="AE33" s="352"/>
      <c r="AF33" s="352" t="s">
        <v>1780</v>
      </c>
      <c r="AG33" s="352"/>
      <c r="AH33" s="352"/>
      <c r="AI33" s="352"/>
      <c r="AJ33" s="352" t="s">
        <v>1780</v>
      </c>
      <c r="AK33" s="352"/>
      <c r="AL33" s="352"/>
      <c r="AM33" s="352"/>
      <c r="AN33" s="352"/>
      <c r="AO33" s="352"/>
      <c r="AP33" s="403" t="s">
        <v>2345</v>
      </c>
      <c r="AQ33" s="403"/>
      <c r="AR33" s="403" t="s">
        <v>2353</v>
      </c>
      <c r="AS33" s="403"/>
    </row>
    <row r="34" spans="1:45" ht="13.5" thickBot="1">
      <c r="A34" s="404" t="s">
        <v>2337</v>
      </c>
      <c r="B34" s="404"/>
      <c r="C34" s="404"/>
      <c r="D34" s="404"/>
      <c r="E34" s="404" t="s">
        <v>2361</v>
      </c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5" t="s">
        <v>2362</v>
      </c>
      <c r="AA34" s="405"/>
      <c r="AB34" s="405"/>
      <c r="AC34" s="405"/>
      <c r="AD34" s="405"/>
      <c r="AE34" s="405"/>
      <c r="AF34" s="405" t="s">
        <v>2363</v>
      </c>
      <c r="AG34" s="405"/>
      <c r="AH34" s="405"/>
      <c r="AI34" s="405"/>
      <c r="AJ34" s="405" t="s">
        <v>2364</v>
      </c>
      <c r="AK34" s="405"/>
      <c r="AL34" s="405"/>
      <c r="AM34" s="405"/>
      <c r="AN34" s="405"/>
      <c r="AO34" s="405"/>
      <c r="AP34" s="406" t="s">
        <v>2365</v>
      </c>
      <c r="AQ34" s="406"/>
      <c r="AR34" s="406" t="s">
        <v>2366</v>
      </c>
      <c r="AS34" s="406"/>
    </row>
    <row r="35" spans="1:45" ht="10.5" customHeight="1">
      <c r="A35" s="354" t="s">
        <v>2367</v>
      </c>
      <c r="B35" s="354"/>
      <c r="C35" s="354"/>
      <c r="D35" s="354"/>
      <c r="E35" s="407" t="s">
        <v>1661</v>
      </c>
      <c r="F35" s="407"/>
      <c r="G35" s="407"/>
      <c r="H35" s="354" t="s">
        <v>1662</v>
      </c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5" t="s">
        <v>2368</v>
      </c>
      <c r="AA35" s="355"/>
      <c r="AB35" s="355"/>
      <c r="AC35" s="355"/>
      <c r="AD35" s="355"/>
      <c r="AE35" s="355"/>
      <c r="AF35" s="355" t="s">
        <v>2369</v>
      </c>
      <c r="AG35" s="355"/>
      <c r="AH35" s="355"/>
      <c r="AI35" s="355"/>
      <c r="AJ35" s="355" t="s">
        <v>2370</v>
      </c>
      <c r="AK35" s="355"/>
      <c r="AL35" s="355"/>
      <c r="AM35" s="355"/>
      <c r="AN35" s="355"/>
      <c r="AO35" s="355"/>
      <c r="AP35" s="408" t="s">
        <v>2371</v>
      </c>
      <c r="AQ35" s="408"/>
      <c r="AR35" s="408" t="s">
        <v>2372</v>
      </c>
      <c r="AS35" s="408"/>
    </row>
    <row r="36" spans="1:45" ht="13.5" thickBot="1">
      <c r="A36" s="404" t="s">
        <v>2367</v>
      </c>
      <c r="B36" s="404"/>
      <c r="C36" s="404"/>
      <c r="D36" s="404"/>
      <c r="E36" s="404" t="s">
        <v>2373</v>
      </c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5" t="s">
        <v>2368</v>
      </c>
      <c r="AA36" s="405"/>
      <c r="AB36" s="405"/>
      <c r="AC36" s="405"/>
      <c r="AD36" s="405"/>
      <c r="AE36" s="405"/>
      <c r="AF36" s="405" t="s">
        <v>2369</v>
      </c>
      <c r="AG36" s="405"/>
      <c r="AH36" s="405"/>
      <c r="AI36" s="405"/>
      <c r="AJ36" s="405" t="s">
        <v>2370</v>
      </c>
      <c r="AK36" s="405"/>
      <c r="AL36" s="405"/>
      <c r="AM36" s="405"/>
      <c r="AN36" s="405"/>
      <c r="AO36" s="405"/>
      <c r="AP36" s="406" t="s">
        <v>2371</v>
      </c>
      <c r="AQ36" s="406"/>
      <c r="AR36" s="406" t="s">
        <v>2372</v>
      </c>
      <c r="AS36" s="406"/>
    </row>
    <row r="37" spans="1:45" ht="10.5" customHeight="1">
      <c r="A37" s="354" t="s">
        <v>2374</v>
      </c>
      <c r="B37" s="354"/>
      <c r="C37" s="354"/>
      <c r="D37" s="354"/>
      <c r="E37" s="407" t="s">
        <v>1661</v>
      </c>
      <c r="F37" s="407"/>
      <c r="G37" s="407"/>
      <c r="H37" s="354" t="s">
        <v>1662</v>
      </c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5" t="s">
        <v>1975</v>
      </c>
      <c r="AA37" s="355"/>
      <c r="AB37" s="355"/>
      <c r="AC37" s="355"/>
      <c r="AD37" s="355"/>
      <c r="AE37" s="355"/>
      <c r="AF37" s="355" t="s">
        <v>1975</v>
      </c>
      <c r="AG37" s="355"/>
      <c r="AH37" s="355"/>
      <c r="AI37" s="355"/>
      <c r="AJ37" s="355" t="s">
        <v>2375</v>
      </c>
      <c r="AK37" s="355"/>
      <c r="AL37" s="355"/>
      <c r="AM37" s="355"/>
      <c r="AN37" s="355"/>
      <c r="AO37" s="355"/>
      <c r="AP37" s="408" t="s">
        <v>2376</v>
      </c>
      <c r="AQ37" s="408"/>
      <c r="AR37" s="408" t="s">
        <v>2376</v>
      </c>
      <c r="AS37" s="408"/>
    </row>
    <row r="38" spans="1:45" ht="13.5" thickBot="1">
      <c r="A38" s="404" t="s">
        <v>2374</v>
      </c>
      <c r="B38" s="404"/>
      <c r="C38" s="404"/>
      <c r="D38" s="404"/>
      <c r="E38" s="404" t="s">
        <v>2377</v>
      </c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5" t="s">
        <v>1975</v>
      </c>
      <c r="AA38" s="405"/>
      <c r="AB38" s="405"/>
      <c r="AC38" s="405"/>
      <c r="AD38" s="405"/>
      <c r="AE38" s="405"/>
      <c r="AF38" s="405" t="s">
        <v>1975</v>
      </c>
      <c r="AG38" s="405"/>
      <c r="AH38" s="405"/>
      <c r="AI38" s="405"/>
      <c r="AJ38" s="405" t="s">
        <v>2375</v>
      </c>
      <c r="AK38" s="405"/>
      <c r="AL38" s="405"/>
      <c r="AM38" s="405"/>
      <c r="AN38" s="405"/>
      <c r="AO38" s="405"/>
      <c r="AP38" s="406" t="s">
        <v>2376</v>
      </c>
      <c r="AQ38" s="406"/>
      <c r="AR38" s="406" t="s">
        <v>2376</v>
      </c>
      <c r="AS38" s="406"/>
    </row>
    <row r="39" spans="1:45" ht="10.5" customHeight="1">
      <c r="A39" s="354" t="s">
        <v>2378</v>
      </c>
      <c r="B39" s="354"/>
      <c r="C39" s="354"/>
      <c r="D39" s="354"/>
      <c r="E39" s="407" t="s">
        <v>1661</v>
      </c>
      <c r="F39" s="407"/>
      <c r="G39" s="407"/>
      <c r="H39" s="354" t="s">
        <v>1662</v>
      </c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5" t="s">
        <v>2379</v>
      </c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408"/>
      <c r="AQ39" s="408"/>
      <c r="AR39" s="408" t="s">
        <v>2345</v>
      </c>
      <c r="AS39" s="408"/>
    </row>
    <row r="40" spans="1:45" ht="13.5" thickBot="1">
      <c r="A40" s="404" t="s">
        <v>2378</v>
      </c>
      <c r="B40" s="404"/>
      <c r="C40" s="404"/>
      <c r="D40" s="404"/>
      <c r="E40" s="404" t="s">
        <v>2380</v>
      </c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5" t="s">
        <v>2379</v>
      </c>
      <c r="AA40" s="405"/>
      <c r="AB40" s="405"/>
      <c r="AC40" s="405"/>
      <c r="AD40" s="405"/>
      <c r="AE40" s="405"/>
      <c r="AF40" s="405"/>
      <c r="AG40" s="405"/>
      <c r="AH40" s="405"/>
      <c r="AI40" s="405"/>
      <c r="AJ40" s="405"/>
      <c r="AK40" s="405"/>
      <c r="AL40" s="405"/>
      <c r="AM40" s="405"/>
      <c r="AN40" s="405"/>
      <c r="AO40" s="405"/>
      <c r="AP40" s="406"/>
      <c r="AQ40" s="406"/>
      <c r="AR40" s="406" t="s">
        <v>2345</v>
      </c>
      <c r="AS40" s="406"/>
    </row>
    <row r="41" spans="1:45" ht="10.5" customHeight="1">
      <c r="A41" s="354" t="s">
        <v>2381</v>
      </c>
      <c r="B41" s="354"/>
      <c r="C41" s="354"/>
      <c r="D41" s="354"/>
      <c r="E41" s="407" t="s">
        <v>1661</v>
      </c>
      <c r="F41" s="407"/>
      <c r="G41" s="407"/>
      <c r="H41" s="354" t="s">
        <v>1662</v>
      </c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5" t="s">
        <v>2082</v>
      </c>
      <c r="AA41" s="355"/>
      <c r="AB41" s="355"/>
      <c r="AC41" s="355"/>
      <c r="AD41" s="355"/>
      <c r="AE41" s="355"/>
      <c r="AF41" s="355" t="s">
        <v>1681</v>
      </c>
      <c r="AG41" s="355"/>
      <c r="AH41" s="355"/>
      <c r="AI41" s="355"/>
      <c r="AJ41" s="355" t="s">
        <v>2382</v>
      </c>
      <c r="AK41" s="355"/>
      <c r="AL41" s="355"/>
      <c r="AM41" s="355"/>
      <c r="AN41" s="355"/>
      <c r="AO41" s="355"/>
      <c r="AP41" s="408" t="s">
        <v>2383</v>
      </c>
      <c r="AQ41" s="408"/>
      <c r="AR41" s="408" t="s">
        <v>2384</v>
      </c>
      <c r="AS41" s="408"/>
    </row>
    <row r="42" spans="1:45" ht="13.5" thickBot="1">
      <c r="A42" s="404" t="s">
        <v>2381</v>
      </c>
      <c r="B42" s="404"/>
      <c r="C42" s="404"/>
      <c r="D42" s="404"/>
      <c r="E42" s="404" t="s">
        <v>2385</v>
      </c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5" t="s">
        <v>2082</v>
      </c>
      <c r="AA42" s="405"/>
      <c r="AB42" s="405"/>
      <c r="AC42" s="405"/>
      <c r="AD42" s="405"/>
      <c r="AE42" s="405"/>
      <c r="AF42" s="405" t="s">
        <v>1681</v>
      </c>
      <c r="AG42" s="405"/>
      <c r="AH42" s="405"/>
      <c r="AI42" s="405"/>
      <c r="AJ42" s="405" t="s">
        <v>2382</v>
      </c>
      <c r="AK42" s="405"/>
      <c r="AL42" s="405"/>
      <c r="AM42" s="405"/>
      <c r="AN42" s="405"/>
      <c r="AO42" s="405"/>
      <c r="AP42" s="406" t="s">
        <v>2383</v>
      </c>
      <c r="AQ42" s="406"/>
      <c r="AR42" s="406" t="s">
        <v>2384</v>
      </c>
      <c r="AS42" s="406"/>
    </row>
    <row r="43" spans="1:45" ht="4.5" customHeight="1" thickBot="1">
      <c r="A43" s="400"/>
      <c r="B43" s="400"/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01"/>
      <c r="AA43" s="401"/>
      <c r="AB43" s="401"/>
      <c r="AC43" s="401"/>
      <c r="AD43" s="401"/>
      <c r="AE43" s="401"/>
      <c r="AF43" s="401"/>
      <c r="AG43" s="401"/>
      <c r="AH43" s="401"/>
      <c r="AI43" s="401"/>
      <c r="AJ43" s="401"/>
      <c r="AK43" s="401"/>
      <c r="AL43" s="401"/>
      <c r="AM43" s="401"/>
      <c r="AN43" s="401"/>
      <c r="AO43" s="401"/>
      <c r="AP43" s="402"/>
      <c r="AQ43" s="402"/>
      <c r="AR43" s="402"/>
      <c r="AS43" s="402"/>
    </row>
    <row r="44" spans="1:45" ht="10.5" customHeight="1">
      <c r="A44" s="354" t="s">
        <v>2386</v>
      </c>
      <c r="B44" s="354"/>
      <c r="C44" s="354"/>
      <c r="D44" s="354"/>
      <c r="E44" s="407" t="s">
        <v>1679</v>
      </c>
      <c r="F44" s="407"/>
      <c r="G44" s="407"/>
      <c r="H44" s="354" t="s">
        <v>1680</v>
      </c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5" t="s">
        <v>1681</v>
      </c>
      <c r="AA44" s="355"/>
      <c r="AB44" s="355"/>
      <c r="AC44" s="355"/>
      <c r="AD44" s="355"/>
      <c r="AE44" s="355"/>
      <c r="AF44" s="355" t="s">
        <v>1682</v>
      </c>
      <c r="AG44" s="355"/>
      <c r="AH44" s="355"/>
      <c r="AI44" s="355"/>
      <c r="AJ44" s="355" t="s">
        <v>1683</v>
      </c>
      <c r="AK44" s="355"/>
      <c r="AL44" s="355"/>
      <c r="AM44" s="355"/>
      <c r="AN44" s="355"/>
      <c r="AO44" s="355"/>
      <c r="AP44" s="408" t="s">
        <v>2387</v>
      </c>
      <c r="AQ44" s="408"/>
      <c r="AR44" s="408" t="s">
        <v>2388</v>
      </c>
      <c r="AS44" s="408"/>
    </row>
    <row r="45" spans="1:45" ht="10.5" customHeight="1">
      <c r="A45" s="343" t="s">
        <v>2386</v>
      </c>
      <c r="B45" s="343"/>
      <c r="C45" s="343"/>
      <c r="D45" s="343"/>
      <c r="E45" s="348" t="s">
        <v>1696</v>
      </c>
      <c r="F45" s="348"/>
      <c r="G45" s="348"/>
      <c r="H45" s="343" t="s">
        <v>1697</v>
      </c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52"/>
      <c r="AA45" s="352"/>
      <c r="AB45" s="352"/>
      <c r="AC45" s="352"/>
      <c r="AD45" s="352"/>
      <c r="AE45" s="352"/>
      <c r="AF45" s="352" t="s">
        <v>1698</v>
      </c>
      <c r="AG45" s="352"/>
      <c r="AH45" s="352"/>
      <c r="AI45" s="352"/>
      <c r="AJ45" s="352" t="s">
        <v>1698</v>
      </c>
      <c r="AK45" s="352"/>
      <c r="AL45" s="352"/>
      <c r="AM45" s="352"/>
      <c r="AN45" s="352"/>
      <c r="AO45" s="352"/>
      <c r="AP45" s="403" t="s">
        <v>2345</v>
      </c>
      <c r="AQ45" s="403"/>
      <c r="AR45" s="403" t="s">
        <v>2353</v>
      </c>
      <c r="AS45" s="403"/>
    </row>
    <row r="46" spans="1:45" ht="10.5" customHeight="1">
      <c r="A46" s="343" t="s">
        <v>2386</v>
      </c>
      <c r="B46" s="343"/>
      <c r="C46" s="343"/>
      <c r="D46" s="343"/>
      <c r="E46" s="348" t="s">
        <v>1699</v>
      </c>
      <c r="F46" s="348"/>
      <c r="G46" s="348"/>
      <c r="H46" s="343" t="s">
        <v>1700</v>
      </c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  <c r="Z46" s="352"/>
      <c r="AA46" s="352"/>
      <c r="AB46" s="352"/>
      <c r="AC46" s="352"/>
      <c r="AD46" s="352"/>
      <c r="AE46" s="352"/>
      <c r="AF46" s="352" t="s">
        <v>1701</v>
      </c>
      <c r="AG46" s="352"/>
      <c r="AH46" s="352"/>
      <c r="AI46" s="352"/>
      <c r="AJ46" s="352" t="s">
        <v>1702</v>
      </c>
      <c r="AK46" s="352"/>
      <c r="AL46" s="352"/>
      <c r="AM46" s="352"/>
      <c r="AN46" s="352"/>
      <c r="AO46" s="352"/>
      <c r="AP46" s="403" t="s">
        <v>2345</v>
      </c>
      <c r="AQ46" s="403"/>
      <c r="AR46" s="403" t="s">
        <v>2389</v>
      </c>
      <c r="AS46" s="403"/>
    </row>
    <row r="47" spans="1:45" ht="10.5" customHeight="1">
      <c r="A47" s="343" t="s">
        <v>2386</v>
      </c>
      <c r="B47" s="343"/>
      <c r="C47" s="343"/>
      <c r="D47" s="343"/>
      <c r="E47" s="348" t="s">
        <v>1703</v>
      </c>
      <c r="F47" s="348"/>
      <c r="G47" s="348"/>
      <c r="H47" s="343" t="s">
        <v>1704</v>
      </c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52"/>
      <c r="AA47" s="352"/>
      <c r="AB47" s="352"/>
      <c r="AC47" s="352"/>
      <c r="AD47" s="352"/>
      <c r="AE47" s="352"/>
      <c r="AF47" s="352" t="s">
        <v>1705</v>
      </c>
      <c r="AG47" s="352"/>
      <c r="AH47" s="352"/>
      <c r="AI47" s="352"/>
      <c r="AJ47" s="352" t="s">
        <v>1706</v>
      </c>
      <c r="AK47" s="352"/>
      <c r="AL47" s="352"/>
      <c r="AM47" s="352"/>
      <c r="AN47" s="352"/>
      <c r="AO47" s="352"/>
      <c r="AP47" s="403" t="s">
        <v>2345</v>
      </c>
      <c r="AQ47" s="403"/>
      <c r="AR47" s="403" t="s">
        <v>2390</v>
      </c>
      <c r="AS47" s="403"/>
    </row>
    <row r="48" spans="1:45" ht="10.5" customHeight="1">
      <c r="A48" s="343" t="s">
        <v>2386</v>
      </c>
      <c r="B48" s="343"/>
      <c r="C48" s="343"/>
      <c r="D48" s="343"/>
      <c r="E48" s="348" t="s">
        <v>1711</v>
      </c>
      <c r="F48" s="348"/>
      <c r="G48" s="348"/>
      <c r="H48" s="343" t="s">
        <v>2391</v>
      </c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52" t="s">
        <v>1713</v>
      </c>
      <c r="AA48" s="352"/>
      <c r="AB48" s="352"/>
      <c r="AC48" s="352"/>
      <c r="AD48" s="352"/>
      <c r="AE48" s="352"/>
      <c r="AF48" s="352" t="s">
        <v>1714</v>
      </c>
      <c r="AG48" s="352"/>
      <c r="AH48" s="352"/>
      <c r="AI48" s="352"/>
      <c r="AJ48" s="352" t="s">
        <v>1715</v>
      </c>
      <c r="AK48" s="352"/>
      <c r="AL48" s="352"/>
      <c r="AM48" s="352"/>
      <c r="AN48" s="352"/>
      <c r="AO48" s="352"/>
      <c r="AP48" s="403" t="s">
        <v>2392</v>
      </c>
      <c r="AQ48" s="403"/>
      <c r="AR48" s="403" t="s">
        <v>2393</v>
      </c>
      <c r="AS48" s="403"/>
    </row>
    <row r="49" spans="1:45" ht="13.5" thickBot="1">
      <c r="A49" s="404" t="s">
        <v>2386</v>
      </c>
      <c r="B49" s="404"/>
      <c r="C49" s="404"/>
      <c r="D49" s="404"/>
      <c r="E49" s="404" t="s">
        <v>2394</v>
      </c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5" t="s">
        <v>1626</v>
      </c>
      <c r="AA49" s="405"/>
      <c r="AB49" s="405"/>
      <c r="AC49" s="405"/>
      <c r="AD49" s="405"/>
      <c r="AE49" s="405"/>
      <c r="AF49" s="405" t="s">
        <v>2395</v>
      </c>
      <c r="AG49" s="405"/>
      <c r="AH49" s="405"/>
      <c r="AI49" s="405"/>
      <c r="AJ49" s="405" t="s">
        <v>2396</v>
      </c>
      <c r="AK49" s="405"/>
      <c r="AL49" s="405"/>
      <c r="AM49" s="405"/>
      <c r="AN49" s="405"/>
      <c r="AO49" s="405"/>
      <c r="AP49" s="406" t="s">
        <v>2397</v>
      </c>
      <c r="AQ49" s="406"/>
      <c r="AR49" s="406" t="s">
        <v>2398</v>
      </c>
      <c r="AS49" s="406"/>
    </row>
    <row r="50" spans="1:45" ht="10.5" customHeight="1">
      <c r="A50" s="354" t="s">
        <v>2399</v>
      </c>
      <c r="B50" s="354"/>
      <c r="C50" s="354"/>
      <c r="D50" s="354"/>
      <c r="E50" s="407" t="s">
        <v>1668</v>
      </c>
      <c r="F50" s="407"/>
      <c r="G50" s="407"/>
      <c r="H50" s="354" t="s">
        <v>1669</v>
      </c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5" t="s">
        <v>1670</v>
      </c>
      <c r="AA50" s="355"/>
      <c r="AB50" s="355"/>
      <c r="AC50" s="355"/>
      <c r="AD50" s="355"/>
      <c r="AE50" s="355"/>
      <c r="AF50" s="355" t="s">
        <v>1670</v>
      </c>
      <c r="AG50" s="355"/>
      <c r="AH50" s="355"/>
      <c r="AI50" s="355"/>
      <c r="AJ50" s="355" t="s">
        <v>1671</v>
      </c>
      <c r="AK50" s="355"/>
      <c r="AL50" s="355"/>
      <c r="AM50" s="355"/>
      <c r="AN50" s="355"/>
      <c r="AO50" s="355"/>
      <c r="AP50" s="408" t="s">
        <v>2400</v>
      </c>
      <c r="AQ50" s="408"/>
      <c r="AR50" s="408" t="s">
        <v>2400</v>
      </c>
      <c r="AS50" s="408"/>
    </row>
    <row r="51" spans="1:45" ht="13.5" thickBot="1">
      <c r="A51" s="404" t="s">
        <v>2399</v>
      </c>
      <c r="B51" s="404"/>
      <c r="C51" s="404"/>
      <c r="D51" s="404"/>
      <c r="E51" s="404" t="s">
        <v>2401</v>
      </c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5" t="s">
        <v>1670</v>
      </c>
      <c r="AA51" s="405"/>
      <c r="AB51" s="405"/>
      <c r="AC51" s="405"/>
      <c r="AD51" s="405"/>
      <c r="AE51" s="405"/>
      <c r="AF51" s="405" t="s">
        <v>1670</v>
      </c>
      <c r="AG51" s="405"/>
      <c r="AH51" s="405"/>
      <c r="AI51" s="405"/>
      <c r="AJ51" s="405" t="s">
        <v>1671</v>
      </c>
      <c r="AK51" s="405"/>
      <c r="AL51" s="405"/>
      <c r="AM51" s="405"/>
      <c r="AN51" s="405"/>
      <c r="AO51" s="405"/>
      <c r="AP51" s="406" t="s">
        <v>2400</v>
      </c>
      <c r="AQ51" s="406"/>
      <c r="AR51" s="406" t="s">
        <v>2400</v>
      </c>
      <c r="AS51" s="406"/>
    </row>
    <row r="52" spans="1:45" ht="10.5" customHeight="1">
      <c r="A52" s="354" t="s">
        <v>2402</v>
      </c>
      <c r="B52" s="354"/>
      <c r="C52" s="354"/>
      <c r="D52" s="354"/>
      <c r="E52" s="407" t="s">
        <v>1686</v>
      </c>
      <c r="F52" s="407"/>
      <c r="G52" s="407"/>
      <c r="H52" s="354" t="s">
        <v>2403</v>
      </c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5"/>
      <c r="AA52" s="355"/>
      <c r="AB52" s="355"/>
      <c r="AC52" s="355"/>
      <c r="AD52" s="355"/>
      <c r="AE52" s="355"/>
      <c r="AF52" s="358" t="s">
        <v>1688</v>
      </c>
      <c r="AG52" s="358"/>
      <c r="AH52" s="358"/>
      <c r="AI52" s="358"/>
      <c r="AJ52" s="358" t="s">
        <v>1689</v>
      </c>
      <c r="AK52" s="358"/>
      <c r="AL52" s="358"/>
      <c r="AM52" s="358"/>
      <c r="AN52" s="358"/>
      <c r="AO52" s="358"/>
      <c r="AP52" s="408" t="s">
        <v>2345</v>
      </c>
      <c r="AQ52" s="408"/>
      <c r="AR52" s="408" t="s">
        <v>2350</v>
      </c>
      <c r="AS52" s="408"/>
    </row>
    <row r="53" spans="1:45" ht="13.5" thickBot="1">
      <c r="A53" s="404" t="s">
        <v>2402</v>
      </c>
      <c r="B53" s="404"/>
      <c r="C53" s="404"/>
      <c r="D53" s="404"/>
      <c r="E53" s="404" t="s">
        <v>2404</v>
      </c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5"/>
      <c r="AA53" s="405"/>
      <c r="AB53" s="405"/>
      <c r="AC53" s="405"/>
      <c r="AD53" s="405"/>
      <c r="AE53" s="405"/>
      <c r="AF53" s="409" t="s">
        <v>1688</v>
      </c>
      <c r="AG53" s="409"/>
      <c r="AH53" s="409"/>
      <c r="AI53" s="409"/>
      <c r="AJ53" s="409" t="s">
        <v>1689</v>
      </c>
      <c r="AK53" s="409"/>
      <c r="AL53" s="409"/>
      <c r="AM53" s="409"/>
      <c r="AN53" s="409"/>
      <c r="AO53" s="409"/>
      <c r="AP53" s="406" t="s">
        <v>2345</v>
      </c>
      <c r="AQ53" s="406"/>
      <c r="AR53" s="406" t="s">
        <v>2350</v>
      </c>
      <c r="AS53" s="406"/>
    </row>
    <row r="54" spans="1:45" ht="13.5" thickBot="1">
      <c r="A54" s="410" t="s">
        <v>2405</v>
      </c>
      <c r="B54" s="410"/>
      <c r="C54" s="410"/>
      <c r="D54" s="410"/>
      <c r="E54" s="410"/>
      <c r="F54" s="410"/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10"/>
      <c r="Z54" s="369" t="s">
        <v>1592</v>
      </c>
      <c r="AA54" s="369"/>
      <c r="AB54" s="369"/>
      <c r="AC54" s="369"/>
      <c r="AD54" s="369"/>
      <c r="AE54" s="369"/>
      <c r="AF54" s="369" t="s">
        <v>1593</v>
      </c>
      <c r="AG54" s="369"/>
      <c r="AH54" s="369"/>
      <c r="AI54" s="369"/>
      <c r="AJ54" s="369" t="s">
        <v>1594</v>
      </c>
      <c r="AK54" s="369"/>
      <c r="AL54" s="369"/>
      <c r="AM54" s="369"/>
      <c r="AN54" s="369"/>
      <c r="AO54" s="369"/>
      <c r="AP54" s="411" t="s">
        <v>2406</v>
      </c>
      <c r="AQ54" s="411"/>
      <c r="AR54" s="411" t="s">
        <v>2407</v>
      </c>
      <c r="AS54" s="411"/>
    </row>
    <row r="55" spans="1:45" ht="9" customHeight="1">
      <c r="A55" s="350" t="s">
        <v>2330</v>
      </c>
      <c r="B55" s="350"/>
      <c r="C55" s="350"/>
      <c r="D55" s="350"/>
      <c r="E55" s="350" t="s">
        <v>2287</v>
      </c>
      <c r="F55" s="350"/>
      <c r="G55" s="350"/>
      <c r="H55" s="350" t="s">
        <v>1574</v>
      </c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1" t="s">
        <v>1575</v>
      </c>
      <c r="AA55" s="351"/>
      <c r="AB55" s="351"/>
      <c r="AC55" s="351"/>
      <c r="AD55" s="351"/>
      <c r="AE55" s="351"/>
      <c r="AF55" s="351" t="s">
        <v>1576</v>
      </c>
      <c r="AG55" s="351"/>
      <c r="AH55" s="351"/>
      <c r="AI55" s="351"/>
      <c r="AJ55" s="351" t="s">
        <v>2331</v>
      </c>
      <c r="AK55" s="351"/>
      <c r="AL55" s="351"/>
      <c r="AM55" s="351"/>
      <c r="AN55" s="351"/>
      <c r="AO55" s="351"/>
      <c r="AP55" s="351" t="s">
        <v>2332</v>
      </c>
      <c r="AQ55" s="351"/>
      <c r="AR55" s="351" t="s">
        <v>2333</v>
      </c>
      <c r="AS55" s="351"/>
    </row>
    <row r="56" spans="1:45" ht="9" customHeight="1" thickBot="1">
      <c r="A56" s="398" t="s">
        <v>2334</v>
      </c>
      <c r="B56" s="398"/>
      <c r="C56" s="398"/>
      <c r="D56" s="398"/>
      <c r="E56" s="398" t="s">
        <v>2335</v>
      </c>
      <c r="F56" s="398"/>
      <c r="G56" s="398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399"/>
      <c r="S56" s="399"/>
      <c r="T56" s="399"/>
      <c r="U56" s="399"/>
      <c r="V56" s="399"/>
      <c r="W56" s="399"/>
      <c r="X56" s="399"/>
      <c r="Y56" s="399"/>
      <c r="Z56" s="399" t="s">
        <v>1659</v>
      </c>
      <c r="AA56" s="399"/>
      <c r="AB56" s="399"/>
      <c r="AC56" s="399"/>
      <c r="AD56" s="399"/>
      <c r="AE56" s="399"/>
      <c r="AF56" s="399" t="s">
        <v>1729</v>
      </c>
      <c r="AG56" s="399"/>
      <c r="AH56" s="399"/>
      <c r="AI56" s="399"/>
      <c r="AJ56" s="399" t="s">
        <v>2336</v>
      </c>
      <c r="AK56" s="399"/>
      <c r="AL56" s="399"/>
      <c r="AM56" s="399"/>
      <c r="AN56" s="399"/>
      <c r="AO56" s="399"/>
      <c r="AP56" s="399"/>
      <c r="AQ56" s="399"/>
      <c r="AR56" s="399"/>
      <c r="AS56" s="399"/>
    </row>
    <row r="57" spans="1:45" ht="4.5" customHeight="1">
      <c r="A57" s="412"/>
      <c r="B57" s="412"/>
      <c r="C57" s="412"/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2"/>
      <c r="AE57" s="412"/>
      <c r="AF57" s="412"/>
      <c r="AG57" s="412"/>
      <c r="AH57" s="412"/>
      <c r="AI57" s="412"/>
      <c r="AJ57" s="412"/>
      <c r="AK57" s="412"/>
      <c r="AL57" s="412"/>
      <c r="AM57" s="412"/>
      <c r="AN57" s="412"/>
      <c r="AO57" s="412"/>
      <c r="AP57" s="412"/>
      <c r="AQ57" s="412"/>
      <c r="AR57" s="412"/>
      <c r="AS57" s="412"/>
    </row>
    <row r="58" spans="1:45" ht="13.5" thickBot="1">
      <c r="A58" s="397" t="s">
        <v>2408</v>
      </c>
      <c r="B58" s="397"/>
      <c r="C58" s="397"/>
      <c r="D58" s="397"/>
      <c r="E58" s="397"/>
      <c r="F58" s="397"/>
      <c r="G58" s="397"/>
      <c r="H58" s="397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  <c r="T58" s="397"/>
      <c r="U58" s="397"/>
      <c r="V58" s="397"/>
      <c r="W58" s="397"/>
      <c r="X58" s="397"/>
      <c r="Y58" s="397"/>
      <c r="Z58" s="397"/>
      <c r="AA58" s="397"/>
      <c r="AB58" s="397"/>
      <c r="AC58" s="397"/>
      <c r="AD58" s="397"/>
      <c r="AE58" s="397"/>
      <c r="AF58" s="397"/>
      <c r="AG58" s="397"/>
      <c r="AH58" s="397"/>
      <c r="AI58" s="397"/>
      <c r="AJ58" s="397"/>
      <c r="AK58" s="397"/>
      <c r="AL58" s="397"/>
      <c r="AM58" s="397"/>
      <c r="AN58" s="397"/>
      <c r="AO58" s="397"/>
      <c r="AP58" s="397"/>
      <c r="AQ58" s="397"/>
      <c r="AR58" s="397"/>
      <c r="AS58" s="397"/>
    </row>
    <row r="59" spans="1:45" ht="4.5" customHeight="1">
      <c r="A59" s="400"/>
      <c r="B59" s="400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0"/>
      <c r="Z59" s="401"/>
      <c r="AA59" s="401"/>
      <c r="AB59" s="401"/>
      <c r="AC59" s="401"/>
      <c r="AD59" s="401"/>
      <c r="AE59" s="401"/>
      <c r="AF59" s="401"/>
      <c r="AG59" s="401"/>
      <c r="AH59" s="401"/>
      <c r="AI59" s="401"/>
      <c r="AJ59" s="401"/>
      <c r="AK59" s="401"/>
      <c r="AL59" s="401"/>
      <c r="AM59" s="401"/>
      <c r="AN59" s="401"/>
      <c r="AO59" s="401"/>
      <c r="AP59" s="402"/>
      <c r="AQ59" s="402"/>
      <c r="AR59" s="402"/>
      <c r="AS59" s="402"/>
    </row>
    <row r="60" spans="1:45" ht="10.5" customHeight="1">
      <c r="A60" s="343" t="s">
        <v>1679</v>
      </c>
      <c r="B60" s="343"/>
      <c r="C60" s="343"/>
      <c r="D60" s="343"/>
      <c r="E60" s="348" t="s">
        <v>1930</v>
      </c>
      <c r="F60" s="348"/>
      <c r="G60" s="348"/>
      <c r="H60" s="343" t="s">
        <v>1931</v>
      </c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52" t="s">
        <v>1670</v>
      </c>
      <c r="AA60" s="352"/>
      <c r="AB60" s="352"/>
      <c r="AC60" s="352"/>
      <c r="AD60" s="352"/>
      <c r="AE60" s="352"/>
      <c r="AF60" s="352" t="s">
        <v>2409</v>
      </c>
      <c r="AG60" s="352"/>
      <c r="AH60" s="352"/>
      <c r="AI60" s="352"/>
      <c r="AJ60" s="352" t="s">
        <v>2410</v>
      </c>
      <c r="AK60" s="352"/>
      <c r="AL60" s="352"/>
      <c r="AM60" s="352"/>
      <c r="AN60" s="352"/>
      <c r="AO60" s="352"/>
      <c r="AP60" s="403" t="s">
        <v>2411</v>
      </c>
      <c r="AQ60" s="403"/>
      <c r="AR60" s="403" t="s">
        <v>2350</v>
      </c>
      <c r="AS60" s="403"/>
    </row>
    <row r="61" spans="1:45" ht="10.5" customHeight="1">
      <c r="A61" s="343" t="s">
        <v>1679</v>
      </c>
      <c r="B61" s="343"/>
      <c r="C61" s="343"/>
      <c r="D61" s="343"/>
      <c r="E61" s="348" t="s">
        <v>1940</v>
      </c>
      <c r="F61" s="348"/>
      <c r="G61" s="348"/>
      <c r="H61" s="343" t="s">
        <v>1941</v>
      </c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52" t="s">
        <v>1670</v>
      </c>
      <c r="AA61" s="352"/>
      <c r="AB61" s="352"/>
      <c r="AC61" s="352"/>
      <c r="AD61" s="352"/>
      <c r="AE61" s="352"/>
      <c r="AF61" s="352" t="s">
        <v>2412</v>
      </c>
      <c r="AG61" s="352"/>
      <c r="AH61" s="352"/>
      <c r="AI61" s="352"/>
      <c r="AJ61" s="352" t="s">
        <v>2413</v>
      </c>
      <c r="AK61" s="352"/>
      <c r="AL61" s="352"/>
      <c r="AM61" s="352"/>
      <c r="AN61" s="352"/>
      <c r="AO61" s="352"/>
      <c r="AP61" s="403" t="s">
        <v>2414</v>
      </c>
      <c r="AQ61" s="403"/>
      <c r="AR61" s="403" t="s">
        <v>2415</v>
      </c>
      <c r="AS61" s="403"/>
    </row>
    <row r="62" spans="1:45" ht="13.5" thickBot="1">
      <c r="A62" s="404" t="s">
        <v>1679</v>
      </c>
      <c r="B62" s="404"/>
      <c r="C62" s="404"/>
      <c r="D62" s="404"/>
      <c r="E62" s="404" t="s">
        <v>2416</v>
      </c>
      <c r="F62" s="404"/>
      <c r="G62" s="404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5" t="s">
        <v>1713</v>
      </c>
      <c r="AA62" s="405"/>
      <c r="AB62" s="405"/>
      <c r="AC62" s="405"/>
      <c r="AD62" s="405"/>
      <c r="AE62" s="405"/>
      <c r="AF62" s="405" t="s">
        <v>2417</v>
      </c>
      <c r="AG62" s="405"/>
      <c r="AH62" s="405"/>
      <c r="AI62" s="405"/>
      <c r="AJ62" s="405" t="s">
        <v>2418</v>
      </c>
      <c r="AK62" s="405"/>
      <c r="AL62" s="405"/>
      <c r="AM62" s="405"/>
      <c r="AN62" s="405"/>
      <c r="AO62" s="405"/>
      <c r="AP62" s="406" t="s">
        <v>2419</v>
      </c>
      <c r="AQ62" s="406"/>
      <c r="AR62" s="406" t="s">
        <v>2420</v>
      </c>
      <c r="AS62" s="406"/>
    </row>
    <row r="63" spans="1:45" ht="10.5" customHeight="1">
      <c r="A63" s="354" t="s">
        <v>2421</v>
      </c>
      <c r="B63" s="354"/>
      <c r="C63" s="354"/>
      <c r="D63" s="354"/>
      <c r="E63" s="407" t="s">
        <v>1885</v>
      </c>
      <c r="F63" s="407"/>
      <c r="G63" s="407"/>
      <c r="H63" s="354" t="s">
        <v>1886</v>
      </c>
      <c r="I63" s="354"/>
      <c r="J63" s="354"/>
      <c r="K63" s="354"/>
      <c r="L63" s="354"/>
      <c r="M63" s="354"/>
      <c r="N63" s="354"/>
      <c r="O63" s="354"/>
      <c r="P63" s="354"/>
      <c r="Q63" s="354"/>
      <c r="R63" s="354"/>
      <c r="S63" s="354"/>
      <c r="T63" s="354"/>
      <c r="U63" s="354"/>
      <c r="V63" s="354"/>
      <c r="W63" s="354"/>
      <c r="X63" s="354"/>
      <c r="Y63" s="354"/>
      <c r="Z63" s="355" t="s">
        <v>2015</v>
      </c>
      <c r="AA63" s="355"/>
      <c r="AB63" s="355"/>
      <c r="AC63" s="355"/>
      <c r="AD63" s="355"/>
      <c r="AE63" s="355"/>
      <c r="AF63" s="355" t="s">
        <v>2422</v>
      </c>
      <c r="AG63" s="355"/>
      <c r="AH63" s="355"/>
      <c r="AI63" s="355"/>
      <c r="AJ63" s="355" t="s">
        <v>2423</v>
      </c>
      <c r="AK63" s="355"/>
      <c r="AL63" s="355"/>
      <c r="AM63" s="355"/>
      <c r="AN63" s="355"/>
      <c r="AO63" s="355"/>
      <c r="AP63" s="408" t="s">
        <v>2424</v>
      </c>
      <c r="AQ63" s="408"/>
      <c r="AR63" s="408" t="s">
        <v>2425</v>
      </c>
      <c r="AS63" s="408"/>
    </row>
    <row r="64" spans="1:45" ht="10.5" customHeight="1">
      <c r="A64" s="343" t="s">
        <v>2421</v>
      </c>
      <c r="B64" s="343"/>
      <c r="C64" s="343"/>
      <c r="D64" s="343"/>
      <c r="E64" s="348" t="s">
        <v>1915</v>
      </c>
      <c r="F64" s="348"/>
      <c r="G64" s="348"/>
      <c r="H64" s="343" t="s">
        <v>1916</v>
      </c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52"/>
      <c r="AA64" s="352"/>
      <c r="AB64" s="352"/>
      <c r="AC64" s="352"/>
      <c r="AD64" s="352"/>
      <c r="AE64" s="352"/>
      <c r="AF64" s="352" t="s">
        <v>2426</v>
      </c>
      <c r="AG64" s="352"/>
      <c r="AH64" s="352"/>
      <c r="AI64" s="352"/>
      <c r="AJ64" s="352" t="s">
        <v>2427</v>
      </c>
      <c r="AK64" s="352"/>
      <c r="AL64" s="352"/>
      <c r="AM64" s="352"/>
      <c r="AN64" s="352"/>
      <c r="AO64" s="352"/>
      <c r="AP64" s="403" t="s">
        <v>2345</v>
      </c>
      <c r="AQ64" s="403"/>
      <c r="AR64" s="403" t="s">
        <v>2428</v>
      </c>
      <c r="AS64" s="403"/>
    </row>
    <row r="65" spans="1:45" ht="10.5" customHeight="1">
      <c r="A65" s="343" t="s">
        <v>2421</v>
      </c>
      <c r="B65" s="343"/>
      <c r="C65" s="343"/>
      <c r="D65" s="343"/>
      <c r="E65" s="348" t="s">
        <v>1930</v>
      </c>
      <c r="F65" s="348"/>
      <c r="G65" s="348"/>
      <c r="H65" s="343" t="s">
        <v>1931</v>
      </c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3"/>
      <c r="T65" s="343"/>
      <c r="U65" s="343"/>
      <c r="V65" s="343"/>
      <c r="W65" s="343"/>
      <c r="X65" s="343"/>
      <c r="Y65" s="343"/>
      <c r="Z65" s="352" t="s">
        <v>2429</v>
      </c>
      <c r="AA65" s="352"/>
      <c r="AB65" s="352"/>
      <c r="AC65" s="352"/>
      <c r="AD65" s="352"/>
      <c r="AE65" s="352"/>
      <c r="AF65" s="352" t="s">
        <v>2430</v>
      </c>
      <c r="AG65" s="352"/>
      <c r="AH65" s="352"/>
      <c r="AI65" s="352"/>
      <c r="AJ65" s="352" t="s">
        <v>2431</v>
      </c>
      <c r="AK65" s="352"/>
      <c r="AL65" s="352"/>
      <c r="AM65" s="352"/>
      <c r="AN65" s="352"/>
      <c r="AO65" s="352"/>
      <c r="AP65" s="403" t="s">
        <v>2432</v>
      </c>
      <c r="AQ65" s="403"/>
      <c r="AR65" s="403" t="s">
        <v>2433</v>
      </c>
      <c r="AS65" s="403"/>
    </row>
    <row r="66" spans="1:45" ht="10.5" customHeight="1">
      <c r="A66" s="343" t="s">
        <v>2421</v>
      </c>
      <c r="B66" s="343"/>
      <c r="C66" s="343"/>
      <c r="D66" s="343"/>
      <c r="E66" s="348" t="s">
        <v>1940</v>
      </c>
      <c r="F66" s="348"/>
      <c r="G66" s="348"/>
      <c r="H66" s="343" t="s">
        <v>1941</v>
      </c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3"/>
      <c r="Z66" s="352" t="s">
        <v>2434</v>
      </c>
      <c r="AA66" s="352"/>
      <c r="AB66" s="352"/>
      <c r="AC66" s="352"/>
      <c r="AD66" s="352"/>
      <c r="AE66" s="352"/>
      <c r="AF66" s="352" t="s">
        <v>2435</v>
      </c>
      <c r="AG66" s="352"/>
      <c r="AH66" s="352"/>
      <c r="AI66" s="352"/>
      <c r="AJ66" s="352" t="s">
        <v>2436</v>
      </c>
      <c r="AK66" s="352"/>
      <c r="AL66" s="352"/>
      <c r="AM66" s="352"/>
      <c r="AN66" s="352"/>
      <c r="AO66" s="352"/>
      <c r="AP66" s="403" t="s">
        <v>2437</v>
      </c>
      <c r="AQ66" s="403"/>
      <c r="AR66" s="403" t="s">
        <v>2438</v>
      </c>
      <c r="AS66" s="403"/>
    </row>
    <row r="67" spans="1:45" ht="10.5" customHeight="1">
      <c r="A67" s="343" t="s">
        <v>2421</v>
      </c>
      <c r="B67" s="343"/>
      <c r="C67" s="343"/>
      <c r="D67" s="343"/>
      <c r="E67" s="348" t="s">
        <v>2075</v>
      </c>
      <c r="F67" s="348"/>
      <c r="G67" s="348"/>
      <c r="H67" s="343" t="s">
        <v>2076</v>
      </c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52"/>
      <c r="AA67" s="352"/>
      <c r="AB67" s="352"/>
      <c r="AC67" s="352"/>
      <c r="AD67" s="352"/>
      <c r="AE67" s="352"/>
      <c r="AF67" s="352" t="s">
        <v>2439</v>
      </c>
      <c r="AG67" s="352"/>
      <c r="AH67" s="352"/>
      <c r="AI67" s="352"/>
      <c r="AJ67" s="352" t="s">
        <v>2440</v>
      </c>
      <c r="AK67" s="352"/>
      <c r="AL67" s="352"/>
      <c r="AM67" s="352"/>
      <c r="AN67" s="352"/>
      <c r="AO67" s="352"/>
      <c r="AP67" s="403" t="s">
        <v>2345</v>
      </c>
      <c r="AQ67" s="403"/>
      <c r="AR67" s="403" t="s">
        <v>2441</v>
      </c>
      <c r="AS67" s="403"/>
    </row>
    <row r="68" spans="1:45" ht="13.5" thickBot="1">
      <c r="A68" s="404" t="s">
        <v>2421</v>
      </c>
      <c r="B68" s="404"/>
      <c r="C68" s="404"/>
      <c r="D68" s="404"/>
      <c r="E68" s="404" t="s">
        <v>2442</v>
      </c>
      <c r="F68" s="404"/>
      <c r="G68" s="404"/>
      <c r="H68" s="404"/>
      <c r="I68" s="404"/>
      <c r="J68" s="404"/>
      <c r="K68" s="404"/>
      <c r="L68" s="404"/>
      <c r="M68" s="404"/>
      <c r="N68" s="404"/>
      <c r="O68" s="404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5" t="s">
        <v>1670</v>
      </c>
      <c r="AA68" s="405"/>
      <c r="AB68" s="405"/>
      <c r="AC68" s="405"/>
      <c r="AD68" s="405"/>
      <c r="AE68" s="405"/>
      <c r="AF68" s="405" t="s">
        <v>2443</v>
      </c>
      <c r="AG68" s="405"/>
      <c r="AH68" s="405"/>
      <c r="AI68" s="405"/>
      <c r="AJ68" s="405" t="s">
        <v>2444</v>
      </c>
      <c r="AK68" s="405"/>
      <c r="AL68" s="405"/>
      <c r="AM68" s="405"/>
      <c r="AN68" s="405"/>
      <c r="AO68" s="405"/>
      <c r="AP68" s="406" t="s">
        <v>2445</v>
      </c>
      <c r="AQ68" s="406"/>
      <c r="AR68" s="406" t="s">
        <v>2446</v>
      </c>
      <c r="AS68" s="406"/>
    </row>
    <row r="69" spans="1:45" ht="10.5" customHeight="1">
      <c r="A69" s="354" t="s">
        <v>1696</v>
      </c>
      <c r="B69" s="354"/>
      <c r="C69" s="354"/>
      <c r="D69" s="354"/>
      <c r="E69" s="407" t="s">
        <v>1930</v>
      </c>
      <c r="F69" s="407"/>
      <c r="G69" s="407"/>
      <c r="H69" s="354" t="s">
        <v>1931</v>
      </c>
      <c r="I69" s="354"/>
      <c r="J69" s="354"/>
      <c r="K69" s="354"/>
      <c r="L69" s="354"/>
      <c r="M69" s="354"/>
      <c r="N69" s="354"/>
      <c r="O69" s="354"/>
      <c r="P69" s="354"/>
      <c r="Q69" s="354"/>
      <c r="R69" s="354"/>
      <c r="S69" s="354"/>
      <c r="T69" s="354"/>
      <c r="U69" s="354"/>
      <c r="V69" s="354"/>
      <c r="W69" s="354"/>
      <c r="X69" s="354"/>
      <c r="Y69" s="354"/>
      <c r="Z69" s="355" t="s">
        <v>2447</v>
      </c>
      <c r="AA69" s="355"/>
      <c r="AB69" s="355"/>
      <c r="AC69" s="355"/>
      <c r="AD69" s="355"/>
      <c r="AE69" s="355"/>
      <c r="AF69" s="355" t="s">
        <v>2447</v>
      </c>
      <c r="AG69" s="355"/>
      <c r="AH69" s="355"/>
      <c r="AI69" s="355"/>
      <c r="AJ69" s="355" t="s">
        <v>2448</v>
      </c>
      <c r="AK69" s="355"/>
      <c r="AL69" s="355"/>
      <c r="AM69" s="355"/>
      <c r="AN69" s="355"/>
      <c r="AO69" s="355"/>
      <c r="AP69" s="408" t="s">
        <v>2449</v>
      </c>
      <c r="AQ69" s="408"/>
      <c r="AR69" s="408" t="s">
        <v>2449</v>
      </c>
      <c r="AS69" s="408"/>
    </row>
    <row r="70" spans="1:45" ht="10.5" customHeight="1">
      <c r="A70" s="343" t="s">
        <v>1696</v>
      </c>
      <c r="B70" s="343"/>
      <c r="C70" s="343"/>
      <c r="D70" s="343"/>
      <c r="E70" s="348" t="s">
        <v>1940</v>
      </c>
      <c r="F70" s="348"/>
      <c r="G70" s="348"/>
      <c r="H70" s="343" t="s">
        <v>1941</v>
      </c>
      <c r="I70" s="343"/>
      <c r="J70" s="343"/>
      <c r="K70" s="343"/>
      <c r="L70" s="343"/>
      <c r="M70" s="343"/>
      <c r="N70" s="343"/>
      <c r="O70" s="343"/>
      <c r="P70" s="343"/>
      <c r="Q70" s="343"/>
      <c r="R70" s="343"/>
      <c r="S70" s="343"/>
      <c r="T70" s="343"/>
      <c r="U70" s="343"/>
      <c r="V70" s="343"/>
      <c r="W70" s="343"/>
      <c r="X70" s="343"/>
      <c r="Y70" s="343"/>
      <c r="Z70" s="352"/>
      <c r="AA70" s="352"/>
      <c r="AB70" s="352"/>
      <c r="AC70" s="352"/>
      <c r="AD70" s="352"/>
      <c r="AE70" s="352"/>
      <c r="AF70" s="352" t="s">
        <v>2450</v>
      </c>
      <c r="AG70" s="352"/>
      <c r="AH70" s="352"/>
      <c r="AI70" s="352"/>
      <c r="AJ70" s="352" t="s">
        <v>2451</v>
      </c>
      <c r="AK70" s="352"/>
      <c r="AL70" s="352"/>
      <c r="AM70" s="352"/>
      <c r="AN70" s="352"/>
      <c r="AO70" s="352"/>
      <c r="AP70" s="403" t="s">
        <v>2345</v>
      </c>
      <c r="AQ70" s="403"/>
      <c r="AR70" s="403" t="s">
        <v>2452</v>
      </c>
      <c r="AS70" s="403"/>
    </row>
    <row r="71" spans="1:45" ht="13.5" thickBot="1">
      <c r="A71" s="404" t="s">
        <v>1696</v>
      </c>
      <c r="B71" s="404"/>
      <c r="C71" s="404"/>
      <c r="D71" s="404"/>
      <c r="E71" s="404" t="s">
        <v>2453</v>
      </c>
      <c r="F71" s="404"/>
      <c r="G71" s="404"/>
      <c r="H71" s="404"/>
      <c r="I71" s="404"/>
      <c r="J71" s="404"/>
      <c r="K71" s="404"/>
      <c r="L71" s="404"/>
      <c r="M71" s="404"/>
      <c r="N71" s="404"/>
      <c r="O71" s="404"/>
      <c r="P71" s="404"/>
      <c r="Q71" s="404"/>
      <c r="R71" s="404"/>
      <c r="S71" s="404"/>
      <c r="T71" s="404"/>
      <c r="U71" s="404"/>
      <c r="V71" s="404"/>
      <c r="W71" s="404"/>
      <c r="X71" s="404"/>
      <c r="Y71" s="404"/>
      <c r="Z71" s="405" t="s">
        <v>2447</v>
      </c>
      <c r="AA71" s="405"/>
      <c r="AB71" s="405"/>
      <c r="AC71" s="405"/>
      <c r="AD71" s="405"/>
      <c r="AE71" s="405"/>
      <c r="AF71" s="405" t="s">
        <v>2454</v>
      </c>
      <c r="AG71" s="405"/>
      <c r="AH71" s="405"/>
      <c r="AI71" s="405"/>
      <c r="AJ71" s="405" t="s">
        <v>2455</v>
      </c>
      <c r="AK71" s="405"/>
      <c r="AL71" s="405"/>
      <c r="AM71" s="405"/>
      <c r="AN71" s="405"/>
      <c r="AO71" s="405"/>
      <c r="AP71" s="406" t="s">
        <v>2456</v>
      </c>
      <c r="AQ71" s="406"/>
      <c r="AR71" s="406" t="s">
        <v>2457</v>
      </c>
      <c r="AS71" s="406"/>
    </row>
    <row r="72" spans="1:45" ht="10.5" customHeight="1">
      <c r="A72" s="354" t="s">
        <v>2458</v>
      </c>
      <c r="B72" s="354"/>
      <c r="C72" s="354"/>
      <c r="D72" s="354"/>
      <c r="E72" s="407" t="s">
        <v>1930</v>
      </c>
      <c r="F72" s="407"/>
      <c r="G72" s="407"/>
      <c r="H72" s="354" t="s">
        <v>1931</v>
      </c>
      <c r="I72" s="354"/>
      <c r="J72" s="354"/>
      <c r="K72" s="354"/>
      <c r="L72" s="354"/>
      <c r="M72" s="354"/>
      <c r="N72" s="354"/>
      <c r="O72" s="354"/>
      <c r="P72" s="354"/>
      <c r="Q72" s="354"/>
      <c r="R72" s="354"/>
      <c r="S72" s="354"/>
      <c r="T72" s="354"/>
      <c r="U72" s="354"/>
      <c r="V72" s="354"/>
      <c r="W72" s="354"/>
      <c r="X72" s="354"/>
      <c r="Y72" s="354"/>
      <c r="Z72" s="355"/>
      <c r="AA72" s="355"/>
      <c r="AB72" s="355"/>
      <c r="AC72" s="355"/>
      <c r="AD72" s="355"/>
      <c r="AE72" s="355"/>
      <c r="AF72" s="355" t="s">
        <v>2459</v>
      </c>
      <c r="AG72" s="355"/>
      <c r="AH72" s="355"/>
      <c r="AI72" s="355"/>
      <c r="AJ72" s="355" t="s">
        <v>2460</v>
      </c>
      <c r="AK72" s="355"/>
      <c r="AL72" s="355"/>
      <c r="AM72" s="355"/>
      <c r="AN72" s="355"/>
      <c r="AO72" s="355"/>
      <c r="AP72" s="408" t="s">
        <v>2345</v>
      </c>
      <c r="AQ72" s="408"/>
      <c r="AR72" s="408" t="s">
        <v>2461</v>
      </c>
      <c r="AS72" s="408"/>
    </row>
    <row r="73" spans="1:45" ht="13.5" thickBot="1">
      <c r="A73" s="404" t="s">
        <v>2458</v>
      </c>
      <c r="B73" s="404"/>
      <c r="C73" s="404"/>
      <c r="D73" s="404"/>
      <c r="E73" s="404" t="s">
        <v>2462</v>
      </c>
      <c r="F73" s="404"/>
      <c r="G73" s="404"/>
      <c r="H73" s="404"/>
      <c r="I73" s="404"/>
      <c r="J73" s="404"/>
      <c r="K73" s="404"/>
      <c r="L73" s="404"/>
      <c r="M73" s="404"/>
      <c r="N73" s="404"/>
      <c r="O73" s="404"/>
      <c r="P73" s="404"/>
      <c r="Q73" s="404"/>
      <c r="R73" s="404"/>
      <c r="S73" s="404"/>
      <c r="T73" s="404"/>
      <c r="U73" s="404"/>
      <c r="V73" s="404"/>
      <c r="W73" s="404"/>
      <c r="X73" s="404"/>
      <c r="Y73" s="404"/>
      <c r="Z73" s="405"/>
      <c r="AA73" s="405"/>
      <c r="AB73" s="405"/>
      <c r="AC73" s="405"/>
      <c r="AD73" s="405"/>
      <c r="AE73" s="405"/>
      <c r="AF73" s="405" t="s">
        <v>2459</v>
      </c>
      <c r="AG73" s="405"/>
      <c r="AH73" s="405"/>
      <c r="AI73" s="405"/>
      <c r="AJ73" s="405" t="s">
        <v>2460</v>
      </c>
      <c r="AK73" s="405"/>
      <c r="AL73" s="405"/>
      <c r="AM73" s="405"/>
      <c r="AN73" s="405"/>
      <c r="AO73" s="405"/>
      <c r="AP73" s="406" t="s">
        <v>2345</v>
      </c>
      <c r="AQ73" s="406"/>
      <c r="AR73" s="406" t="s">
        <v>2461</v>
      </c>
      <c r="AS73" s="406"/>
    </row>
    <row r="74" spans="1:45" ht="10.5" customHeight="1">
      <c r="A74" s="354" t="s">
        <v>2463</v>
      </c>
      <c r="B74" s="354"/>
      <c r="C74" s="354"/>
      <c r="D74" s="354"/>
      <c r="E74" s="407" t="s">
        <v>1930</v>
      </c>
      <c r="F74" s="407"/>
      <c r="G74" s="407"/>
      <c r="H74" s="354" t="s">
        <v>1931</v>
      </c>
      <c r="I74" s="354"/>
      <c r="J74" s="354"/>
      <c r="K74" s="354"/>
      <c r="L74" s="354"/>
      <c r="M74" s="354"/>
      <c r="N74" s="354"/>
      <c r="O74" s="354"/>
      <c r="P74" s="354"/>
      <c r="Q74" s="354"/>
      <c r="R74" s="354"/>
      <c r="S74" s="354"/>
      <c r="T74" s="354"/>
      <c r="U74" s="354"/>
      <c r="V74" s="354"/>
      <c r="W74" s="354"/>
      <c r="X74" s="354"/>
      <c r="Y74" s="354"/>
      <c r="Z74" s="355"/>
      <c r="AA74" s="355"/>
      <c r="AB74" s="355"/>
      <c r="AC74" s="355"/>
      <c r="AD74" s="355"/>
      <c r="AE74" s="355"/>
      <c r="AF74" s="355" t="s">
        <v>2464</v>
      </c>
      <c r="AG74" s="355"/>
      <c r="AH74" s="355"/>
      <c r="AI74" s="355"/>
      <c r="AJ74" s="355" t="s">
        <v>2464</v>
      </c>
      <c r="AK74" s="355"/>
      <c r="AL74" s="355"/>
      <c r="AM74" s="355"/>
      <c r="AN74" s="355"/>
      <c r="AO74" s="355"/>
      <c r="AP74" s="408" t="s">
        <v>2345</v>
      </c>
      <c r="AQ74" s="408"/>
      <c r="AR74" s="408" t="s">
        <v>2353</v>
      </c>
      <c r="AS74" s="408"/>
    </row>
    <row r="75" spans="1:45" ht="10.5" customHeight="1">
      <c r="A75" s="343" t="s">
        <v>2463</v>
      </c>
      <c r="B75" s="343"/>
      <c r="C75" s="343"/>
      <c r="D75" s="343"/>
      <c r="E75" s="348" t="s">
        <v>1940</v>
      </c>
      <c r="F75" s="348"/>
      <c r="G75" s="348"/>
      <c r="H75" s="343" t="s">
        <v>1941</v>
      </c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52" t="s">
        <v>1713</v>
      </c>
      <c r="AA75" s="352"/>
      <c r="AB75" s="352"/>
      <c r="AC75" s="352"/>
      <c r="AD75" s="352"/>
      <c r="AE75" s="352"/>
      <c r="AF75" s="352" t="s">
        <v>2465</v>
      </c>
      <c r="AG75" s="352"/>
      <c r="AH75" s="352"/>
      <c r="AI75" s="352"/>
      <c r="AJ75" s="352" t="s">
        <v>2466</v>
      </c>
      <c r="AK75" s="352"/>
      <c r="AL75" s="352"/>
      <c r="AM75" s="352"/>
      <c r="AN75" s="352"/>
      <c r="AO75" s="352"/>
      <c r="AP75" s="403" t="s">
        <v>2467</v>
      </c>
      <c r="AQ75" s="403"/>
      <c r="AR75" s="403" t="s">
        <v>2468</v>
      </c>
      <c r="AS75" s="403"/>
    </row>
    <row r="76" spans="1:45" ht="10.5" customHeight="1">
      <c r="A76" s="343" t="s">
        <v>2463</v>
      </c>
      <c r="B76" s="343"/>
      <c r="C76" s="343"/>
      <c r="D76" s="343"/>
      <c r="E76" s="348" t="s">
        <v>1999</v>
      </c>
      <c r="F76" s="348"/>
      <c r="G76" s="348"/>
      <c r="H76" s="343" t="s">
        <v>0</v>
      </c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52" t="s">
        <v>1</v>
      </c>
      <c r="AA76" s="352"/>
      <c r="AB76" s="352"/>
      <c r="AC76" s="352"/>
      <c r="AD76" s="352"/>
      <c r="AE76" s="352"/>
      <c r="AF76" s="352" t="s">
        <v>2</v>
      </c>
      <c r="AG76" s="352"/>
      <c r="AH76" s="352"/>
      <c r="AI76" s="352"/>
      <c r="AJ76" s="352" t="s">
        <v>2</v>
      </c>
      <c r="AK76" s="352"/>
      <c r="AL76" s="352"/>
      <c r="AM76" s="352"/>
      <c r="AN76" s="352"/>
      <c r="AO76" s="352"/>
      <c r="AP76" s="403" t="s">
        <v>3</v>
      </c>
      <c r="AQ76" s="403"/>
      <c r="AR76" s="403" t="s">
        <v>2353</v>
      </c>
      <c r="AS76" s="403"/>
    </row>
    <row r="77" spans="1:45" ht="10.5" customHeight="1">
      <c r="A77" s="343" t="s">
        <v>2463</v>
      </c>
      <c r="B77" s="343"/>
      <c r="C77" s="343"/>
      <c r="D77" s="343"/>
      <c r="E77" s="348" t="s">
        <v>2075</v>
      </c>
      <c r="F77" s="348"/>
      <c r="G77" s="348"/>
      <c r="H77" s="343" t="s">
        <v>2076</v>
      </c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52" t="s">
        <v>4</v>
      </c>
      <c r="AA77" s="352"/>
      <c r="AB77" s="352"/>
      <c r="AC77" s="352"/>
      <c r="AD77" s="352"/>
      <c r="AE77" s="352"/>
      <c r="AF77" s="352" t="s">
        <v>5</v>
      </c>
      <c r="AG77" s="352"/>
      <c r="AH77" s="352"/>
      <c r="AI77" s="352"/>
      <c r="AJ77" s="352" t="s">
        <v>6</v>
      </c>
      <c r="AK77" s="352"/>
      <c r="AL77" s="352"/>
      <c r="AM77" s="352"/>
      <c r="AN77" s="352"/>
      <c r="AO77" s="352"/>
      <c r="AP77" s="403" t="s">
        <v>7</v>
      </c>
      <c r="AQ77" s="403"/>
      <c r="AR77" s="403" t="s">
        <v>8</v>
      </c>
      <c r="AS77" s="403"/>
    </row>
    <row r="78" spans="1:45" ht="13.5" thickBot="1">
      <c r="A78" s="404" t="s">
        <v>2463</v>
      </c>
      <c r="B78" s="404"/>
      <c r="C78" s="404"/>
      <c r="D78" s="404"/>
      <c r="E78" s="404" t="s">
        <v>9</v>
      </c>
      <c r="F78" s="404"/>
      <c r="G78" s="404"/>
      <c r="H78" s="404"/>
      <c r="I78" s="404"/>
      <c r="J78" s="404"/>
      <c r="K78" s="404"/>
      <c r="L78" s="404"/>
      <c r="M78" s="404"/>
      <c r="N78" s="404"/>
      <c r="O78" s="404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5" t="s">
        <v>10</v>
      </c>
      <c r="AA78" s="405"/>
      <c r="AB78" s="405"/>
      <c r="AC78" s="405"/>
      <c r="AD78" s="405"/>
      <c r="AE78" s="405"/>
      <c r="AF78" s="405" t="s">
        <v>11</v>
      </c>
      <c r="AG78" s="405"/>
      <c r="AH78" s="405"/>
      <c r="AI78" s="405"/>
      <c r="AJ78" s="405" t="s">
        <v>12</v>
      </c>
      <c r="AK78" s="405"/>
      <c r="AL78" s="405"/>
      <c r="AM78" s="405"/>
      <c r="AN78" s="405"/>
      <c r="AO78" s="405"/>
      <c r="AP78" s="406" t="s">
        <v>2456</v>
      </c>
      <c r="AQ78" s="406"/>
      <c r="AR78" s="406" t="s">
        <v>13</v>
      </c>
      <c r="AS78" s="406"/>
    </row>
    <row r="79" spans="1:45" ht="10.5" customHeight="1">
      <c r="A79" s="354" t="s">
        <v>14</v>
      </c>
      <c r="B79" s="354"/>
      <c r="C79" s="354"/>
      <c r="D79" s="354"/>
      <c r="E79" s="407" t="s">
        <v>1855</v>
      </c>
      <c r="F79" s="407"/>
      <c r="G79" s="407"/>
      <c r="H79" s="354" t="s">
        <v>1856</v>
      </c>
      <c r="I79" s="354"/>
      <c r="J79" s="354"/>
      <c r="K79" s="354"/>
      <c r="L79" s="354"/>
      <c r="M79" s="354"/>
      <c r="N79" s="354"/>
      <c r="O79" s="354"/>
      <c r="P79" s="354"/>
      <c r="Q79" s="354"/>
      <c r="R79" s="354"/>
      <c r="S79" s="354"/>
      <c r="T79" s="354"/>
      <c r="U79" s="354"/>
      <c r="V79" s="354"/>
      <c r="W79" s="354"/>
      <c r="X79" s="354"/>
      <c r="Y79" s="354"/>
      <c r="Z79" s="355"/>
      <c r="AA79" s="355"/>
      <c r="AB79" s="355"/>
      <c r="AC79" s="355"/>
      <c r="AD79" s="355"/>
      <c r="AE79" s="355"/>
      <c r="AF79" s="355"/>
      <c r="AG79" s="355"/>
      <c r="AH79" s="355"/>
      <c r="AI79" s="355"/>
      <c r="AJ79" s="355" t="s">
        <v>15</v>
      </c>
      <c r="AK79" s="355"/>
      <c r="AL79" s="355"/>
      <c r="AM79" s="355"/>
      <c r="AN79" s="355"/>
      <c r="AO79" s="355"/>
      <c r="AP79" s="408" t="s">
        <v>2345</v>
      </c>
      <c r="AQ79" s="408"/>
      <c r="AR79" s="408" t="s">
        <v>2345</v>
      </c>
      <c r="AS79" s="408"/>
    </row>
    <row r="80" spans="1:45" ht="10.5" customHeight="1">
      <c r="A80" s="343" t="s">
        <v>14</v>
      </c>
      <c r="B80" s="343"/>
      <c r="C80" s="343"/>
      <c r="D80" s="343"/>
      <c r="E80" s="348" t="s">
        <v>1880</v>
      </c>
      <c r="F80" s="348"/>
      <c r="G80" s="348"/>
      <c r="H80" s="343" t="s">
        <v>1881</v>
      </c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52"/>
      <c r="AA80" s="352"/>
      <c r="AB80" s="352"/>
      <c r="AC80" s="352"/>
      <c r="AD80" s="352"/>
      <c r="AE80" s="352"/>
      <c r="AF80" s="352"/>
      <c r="AG80" s="352"/>
      <c r="AH80" s="352"/>
      <c r="AI80" s="352"/>
      <c r="AJ80" s="352" t="s">
        <v>16</v>
      </c>
      <c r="AK80" s="352"/>
      <c r="AL80" s="352"/>
      <c r="AM80" s="352"/>
      <c r="AN80" s="352"/>
      <c r="AO80" s="352"/>
      <c r="AP80" s="403" t="s">
        <v>2345</v>
      </c>
      <c r="AQ80" s="403"/>
      <c r="AR80" s="403" t="s">
        <v>2345</v>
      </c>
      <c r="AS80" s="403"/>
    </row>
    <row r="81" spans="1:45" ht="10.5" customHeight="1">
      <c r="A81" s="343" t="s">
        <v>14</v>
      </c>
      <c r="B81" s="343"/>
      <c r="C81" s="343"/>
      <c r="D81" s="343"/>
      <c r="E81" s="348" t="s">
        <v>1930</v>
      </c>
      <c r="F81" s="348"/>
      <c r="G81" s="348"/>
      <c r="H81" s="343" t="s">
        <v>1931</v>
      </c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43"/>
      <c r="V81" s="343"/>
      <c r="W81" s="343"/>
      <c r="X81" s="343"/>
      <c r="Y81" s="343"/>
      <c r="Z81" s="352"/>
      <c r="AA81" s="352"/>
      <c r="AB81" s="352"/>
      <c r="AC81" s="352"/>
      <c r="AD81" s="352"/>
      <c r="AE81" s="352"/>
      <c r="AF81" s="352" t="s">
        <v>17</v>
      </c>
      <c r="AG81" s="352"/>
      <c r="AH81" s="352"/>
      <c r="AI81" s="352"/>
      <c r="AJ81" s="352" t="s">
        <v>18</v>
      </c>
      <c r="AK81" s="352"/>
      <c r="AL81" s="352"/>
      <c r="AM81" s="352"/>
      <c r="AN81" s="352"/>
      <c r="AO81" s="352"/>
      <c r="AP81" s="403" t="s">
        <v>2345</v>
      </c>
      <c r="AQ81" s="403"/>
      <c r="AR81" s="403" t="s">
        <v>19</v>
      </c>
      <c r="AS81" s="403"/>
    </row>
    <row r="82" spans="1:45" ht="10.5" customHeight="1">
      <c r="A82" s="343" t="s">
        <v>14</v>
      </c>
      <c r="B82" s="343"/>
      <c r="C82" s="343"/>
      <c r="D82" s="343"/>
      <c r="E82" s="348" t="s">
        <v>1940</v>
      </c>
      <c r="F82" s="348"/>
      <c r="G82" s="348"/>
      <c r="H82" s="343" t="s">
        <v>1941</v>
      </c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3"/>
      <c r="U82" s="343"/>
      <c r="V82" s="343"/>
      <c r="W82" s="343"/>
      <c r="X82" s="343"/>
      <c r="Y82" s="343"/>
      <c r="Z82" s="352"/>
      <c r="AA82" s="352"/>
      <c r="AB82" s="352"/>
      <c r="AC82" s="352"/>
      <c r="AD82" s="352"/>
      <c r="AE82" s="352"/>
      <c r="AF82" s="352" t="s">
        <v>20</v>
      </c>
      <c r="AG82" s="352"/>
      <c r="AH82" s="352"/>
      <c r="AI82" s="352"/>
      <c r="AJ82" s="352" t="s">
        <v>21</v>
      </c>
      <c r="AK82" s="352"/>
      <c r="AL82" s="352"/>
      <c r="AM82" s="352"/>
      <c r="AN82" s="352"/>
      <c r="AO82" s="352"/>
      <c r="AP82" s="403" t="s">
        <v>2345</v>
      </c>
      <c r="AQ82" s="403"/>
      <c r="AR82" s="403" t="s">
        <v>22</v>
      </c>
      <c r="AS82" s="403"/>
    </row>
    <row r="83" spans="1:45" ht="10.5" customHeight="1">
      <c r="A83" s="343" t="s">
        <v>14</v>
      </c>
      <c r="B83" s="343"/>
      <c r="C83" s="343"/>
      <c r="D83" s="343"/>
      <c r="E83" s="348" t="s">
        <v>1999</v>
      </c>
      <c r="F83" s="348"/>
      <c r="G83" s="348"/>
      <c r="H83" s="343" t="s">
        <v>0</v>
      </c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52" t="s">
        <v>23</v>
      </c>
      <c r="AA83" s="352"/>
      <c r="AB83" s="352"/>
      <c r="AC83" s="352"/>
      <c r="AD83" s="352"/>
      <c r="AE83" s="352"/>
      <c r="AF83" s="352" t="s">
        <v>24</v>
      </c>
      <c r="AG83" s="352"/>
      <c r="AH83" s="352"/>
      <c r="AI83" s="352"/>
      <c r="AJ83" s="352" t="s">
        <v>24</v>
      </c>
      <c r="AK83" s="352"/>
      <c r="AL83" s="352"/>
      <c r="AM83" s="352"/>
      <c r="AN83" s="352"/>
      <c r="AO83" s="352"/>
      <c r="AP83" s="403" t="s">
        <v>25</v>
      </c>
      <c r="AQ83" s="403"/>
      <c r="AR83" s="403" t="s">
        <v>2353</v>
      </c>
      <c r="AS83" s="403"/>
    </row>
    <row r="84" spans="1:45" ht="10.5" customHeight="1">
      <c r="A84" s="343" t="s">
        <v>14</v>
      </c>
      <c r="B84" s="343"/>
      <c r="C84" s="343"/>
      <c r="D84" s="343"/>
      <c r="E84" s="348" t="s">
        <v>2075</v>
      </c>
      <c r="F84" s="348"/>
      <c r="G84" s="348"/>
      <c r="H84" s="343" t="s">
        <v>2076</v>
      </c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52"/>
      <c r="AA84" s="352"/>
      <c r="AB84" s="352"/>
      <c r="AC84" s="352"/>
      <c r="AD84" s="352"/>
      <c r="AE84" s="352"/>
      <c r="AF84" s="352" t="s">
        <v>26</v>
      </c>
      <c r="AG84" s="352"/>
      <c r="AH84" s="352"/>
      <c r="AI84" s="352"/>
      <c r="AJ84" s="352" t="s">
        <v>27</v>
      </c>
      <c r="AK84" s="352"/>
      <c r="AL84" s="352"/>
      <c r="AM84" s="352"/>
      <c r="AN84" s="352"/>
      <c r="AO84" s="352"/>
      <c r="AP84" s="403" t="s">
        <v>2345</v>
      </c>
      <c r="AQ84" s="403"/>
      <c r="AR84" s="403" t="s">
        <v>28</v>
      </c>
      <c r="AS84" s="403"/>
    </row>
    <row r="85" spans="1:45" ht="13.5" thickBot="1">
      <c r="A85" s="404" t="s">
        <v>14</v>
      </c>
      <c r="B85" s="404"/>
      <c r="C85" s="404"/>
      <c r="D85" s="404"/>
      <c r="E85" s="404" t="s">
        <v>29</v>
      </c>
      <c r="F85" s="404"/>
      <c r="G85" s="404"/>
      <c r="H85" s="404"/>
      <c r="I85" s="404"/>
      <c r="J85" s="404"/>
      <c r="K85" s="404"/>
      <c r="L85" s="404"/>
      <c r="M85" s="404"/>
      <c r="N85" s="404"/>
      <c r="O85" s="404"/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Z85" s="405" t="s">
        <v>23</v>
      </c>
      <c r="AA85" s="405"/>
      <c r="AB85" s="405"/>
      <c r="AC85" s="405"/>
      <c r="AD85" s="405"/>
      <c r="AE85" s="405"/>
      <c r="AF85" s="405" t="s">
        <v>30</v>
      </c>
      <c r="AG85" s="405"/>
      <c r="AH85" s="405"/>
      <c r="AI85" s="405"/>
      <c r="AJ85" s="405" t="s">
        <v>31</v>
      </c>
      <c r="AK85" s="405"/>
      <c r="AL85" s="405"/>
      <c r="AM85" s="405"/>
      <c r="AN85" s="405"/>
      <c r="AO85" s="405"/>
      <c r="AP85" s="406" t="s">
        <v>32</v>
      </c>
      <c r="AQ85" s="406"/>
      <c r="AR85" s="406" t="s">
        <v>33</v>
      </c>
      <c r="AS85" s="406"/>
    </row>
    <row r="86" spans="1:45" ht="10.5" customHeight="1">
      <c r="A86" s="354" t="s">
        <v>34</v>
      </c>
      <c r="B86" s="354"/>
      <c r="C86" s="354"/>
      <c r="D86" s="354"/>
      <c r="E86" s="407" t="s">
        <v>1880</v>
      </c>
      <c r="F86" s="407"/>
      <c r="G86" s="407"/>
      <c r="H86" s="354" t="s">
        <v>1881</v>
      </c>
      <c r="I86" s="354"/>
      <c r="J86" s="354"/>
      <c r="K86" s="354"/>
      <c r="L86" s="354"/>
      <c r="M86" s="354"/>
      <c r="N86" s="354"/>
      <c r="O86" s="354"/>
      <c r="P86" s="354"/>
      <c r="Q86" s="354"/>
      <c r="R86" s="354"/>
      <c r="S86" s="354"/>
      <c r="T86" s="354"/>
      <c r="U86" s="354"/>
      <c r="V86" s="354"/>
      <c r="W86" s="354"/>
      <c r="X86" s="354"/>
      <c r="Y86" s="354"/>
      <c r="Z86" s="355"/>
      <c r="AA86" s="355"/>
      <c r="AB86" s="355"/>
      <c r="AC86" s="355"/>
      <c r="AD86" s="355"/>
      <c r="AE86" s="355"/>
      <c r="AF86" s="355"/>
      <c r="AG86" s="355"/>
      <c r="AH86" s="355"/>
      <c r="AI86" s="355"/>
      <c r="AJ86" s="355" t="s">
        <v>35</v>
      </c>
      <c r="AK86" s="355"/>
      <c r="AL86" s="355"/>
      <c r="AM86" s="355"/>
      <c r="AN86" s="355"/>
      <c r="AO86" s="355"/>
      <c r="AP86" s="408" t="s">
        <v>2345</v>
      </c>
      <c r="AQ86" s="408"/>
      <c r="AR86" s="408" t="s">
        <v>2345</v>
      </c>
      <c r="AS86" s="408"/>
    </row>
    <row r="87" spans="1:45" ht="10.5" customHeight="1">
      <c r="A87" s="343" t="s">
        <v>34</v>
      </c>
      <c r="B87" s="343"/>
      <c r="C87" s="343"/>
      <c r="D87" s="343"/>
      <c r="E87" s="348" t="s">
        <v>1930</v>
      </c>
      <c r="F87" s="348"/>
      <c r="G87" s="348"/>
      <c r="H87" s="343" t="s">
        <v>1931</v>
      </c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52"/>
      <c r="AA87" s="352"/>
      <c r="AB87" s="352"/>
      <c r="AC87" s="352"/>
      <c r="AD87" s="352"/>
      <c r="AE87" s="352"/>
      <c r="AF87" s="352" t="s">
        <v>36</v>
      </c>
      <c r="AG87" s="352"/>
      <c r="AH87" s="352"/>
      <c r="AI87" s="352"/>
      <c r="AJ87" s="352" t="s">
        <v>37</v>
      </c>
      <c r="AK87" s="352"/>
      <c r="AL87" s="352"/>
      <c r="AM87" s="352"/>
      <c r="AN87" s="352"/>
      <c r="AO87" s="352"/>
      <c r="AP87" s="403" t="s">
        <v>2345</v>
      </c>
      <c r="AQ87" s="403"/>
      <c r="AR87" s="403" t="s">
        <v>38</v>
      </c>
      <c r="AS87" s="403"/>
    </row>
    <row r="88" spans="1:45" ht="10.5" customHeight="1">
      <c r="A88" s="343" t="s">
        <v>34</v>
      </c>
      <c r="B88" s="343"/>
      <c r="C88" s="343"/>
      <c r="D88" s="343"/>
      <c r="E88" s="348" t="s">
        <v>1940</v>
      </c>
      <c r="F88" s="348"/>
      <c r="G88" s="348"/>
      <c r="H88" s="343" t="s">
        <v>1941</v>
      </c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52"/>
      <c r="AA88" s="352"/>
      <c r="AB88" s="352"/>
      <c r="AC88" s="352"/>
      <c r="AD88" s="352"/>
      <c r="AE88" s="352"/>
      <c r="AF88" s="352" t="s">
        <v>39</v>
      </c>
      <c r="AG88" s="352"/>
      <c r="AH88" s="352"/>
      <c r="AI88" s="352"/>
      <c r="AJ88" s="352"/>
      <c r="AK88" s="352"/>
      <c r="AL88" s="352"/>
      <c r="AM88" s="352"/>
      <c r="AN88" s="352"/>
      <c r="AO88" s="352"/>
      <c r="AP88" s="403" t="s">
        <v>2345</v>
      </c>
      <c r="AQ88" s="403"/>
      <c r="AR88" s="403"/>
      <c r="AS88" s="403"/>
    </row>
    <row r="89" spans="1:45" ht="10.5" customHeight="1">
      <c r="A89" s="343" t="s">
        <v>34</v>
      </c>
      <c r="B89" s="343"/>
      <c r="C89" s="343"/>
      <c r="D89" s="343"/>
      <c r="E89" s="348" t="s">
        <v>1999</v>
      </c>
      <c r="F89" s="348"/>
      <c r="G89" s="348"/>
      <c r="H89" s="343" t="s">
        <v>0</v>
      </c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52" t="s">
        <v>40</v>
      </c>
      <c r="AA89" s="352"/>
      <c r="AB89" s="352"/>
      <c r="AC89" s="352"/>
      <c r="AD89" s="352"/>
      <c r="AE89" s="352"/>
      <c r="AF89" s="352" t="s">
        <v>41</v>
      </c>
      <c r="AG89" s="352"/>
      <c r="AH89" s="352"/>
      <c r="AI89" s="352"/>
      <c r="AJ89" s="352" t="s">
        <v>41</v>
      </c>
      <c r="AK89" s="352"/>
      <c r="AL89" s="352"/>
      <c r="AM89" s="352"/>
      <c r="AN89" s="352"/>
      <c r="AO89" s="352"/>
      <c r="AP89" s="403" t="s">
        <v>42</v>
      </c>
      <c r="AQ89" s="403"/>
      <c r="AR89" s="403" t="s">
        <v>2353</v>
      </c>
      <c r="AS89" s="403"/>
    </row>
    <row r="90" spans="1:45" ht="13.5" thickBot="1">
      <c r="A90" s="404" t="s">
        <v>34</v>
      </c>
      <c r="B90" s="404"/>
      <c r="C90" s="404"/>
      <c r="D90" s="404"/>
      <c r="E90" s="404" t="s">
        <v>43</v>
      </c>
      <c r="F90" s="404"/>
      <c r="G90" s="404"/>
      <c r="H90" s="404"/>
      <c r="I90" s="404"/>
      <c r="J90" s="404"/>
      <c r="K90" s="404"/>
      <c r="L90" s="404"/>
      <c r="M90" s="404"/>
      <c r="N90" s="404"/>
      <c r="O90" s="404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5" t="s">
        <v>40</v>
      </c>
      <c r="AA90" s="405"/>
      <c r="AB90" s="405"/>
      <c r="AC90" s="405"/>
      <c r="AD90" s="405"/>
      <c r="AE90" s="405"/>
      <c r="AF90" s="405" t="s">
        <v>44</v>
      </c>
      <c r="AG90" s="405"/>
      <c r="AH90" s="405"/>
      <c r="AI90" s="405"/>
      <c r="AJ90" s="405" t="s">
        <v>45</v>
      </c>
      <c r="AK90" s="405"/>
      <c r="AL90" s="405"/>
      <c r="AM90" s="405"/>
      <c r="AN90" s="405"/>
      <c r="AO90" s="405"/>
      <c r="AP90" s="406" t="s">
        <v>46</v>
      </c>
      <c r="AQ90" s="406"/>
      <c r="AR90" s="406" t="s">
        <v>47</v>
      </c>
      <c r="AS90" s="406"/>
    </row>
    <row r="91" spans="1:45" ht="10.5" customHeight="1">
      <c r="A91" s="354" t="s">
        <v>48</v>
      </c>
      <c r="B91" s="354"/>
      <c r="C91" s="354"/>
      <c r="D91" s="354"/>
      <c r="E91" s="407" t="s">
        <v>1940</v>
      </c>
      <c r="F91" s="407"/>
      <c r="G91" s="407"/>
      <c r="H91" s="354" t="s">
        <v>1941</v>
      </c>
      <c r="I91" s="354"/>
      <c r="J91" s="354"/>
      <c r="K91" s="354"/>
      <c r="L91" s="354"/>
      <c r="M91" s="354"/>
      <c r="N91" s="354"/>
      <c r="O91" s="354"/>
      <c r="P91" s="354"/>
      <c r="Q91" s="354"/>
      <c r="R91" s="354"/>
      <c r="S91" s="354"/>
      <c r="T91" s="354"/>
      <c r="U91" s="354"/>
      <c r="V91" s="354"/>
      <c r="W91" s="354"/>
      <c r="X91" s="354"/>
      <c r="Y91" s="354"/>
      <c r="Z91" s="355"/>
      <c r="AA91" s="355"/>
      <c r="AB91" s="355"/>
      <c r="AC91" s="355"/>
      <c r="AD91" s="355"/>
      <c r="AE91" s="355"/>
      <c r="AF91" s="355" t="s">
        <v>1618</v>
      </c>
      <c r="AG91" s="355"/>
      <c r="AH91" s="355"/>
      <c r="AI91" s="355"/>
      <c r="AJ91" s="355" t="s">
        <v>1618</v>
      </c>
      <c r="AK91" s="355"/>
      <c r="AL91" s="355"/>
      <c r="AM91" s="355"/>
      <c r="AN91" s="355"/>
      <c r="AO91" s="355"/>
      <c r="AP91" s="408" t="s">
        <v>2345</v>
      </c>
      <c r="AQ91" s="408"/>
      <c r="AR91" s="408" t="s">
        <v>2353</v>
      </c>
      <c r="AS91" s="408"/>
    </row>
    <row r="92" spans="1:45" ht="13.5" thickBot="1">
      <c r="A92" s="404" t="s">
        <v>48</v>
      </c>
      <c r="B92" s="404"/>
      <c r="C92" s="404"/>
      <c r="D92" s="404"/>
      <c r="E92" s="404" t="s">
        <v>49</v>
      </c>
      <c r="F92" s="404"/>
      <c r="G92" s="404"/>
      <c r="H92" s="404"/>
      <c r="I92" s="404"/>
      <c r="J92" s="404"/>
      <c r="K92" s="404"/>
      <c r="L92" s="404"/>
      <c r="M92" s="404"/>
      <c r="N92" s="404"/>
      <c r="O92" s="404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5"/>
      <c r="AA92" s="405"/>
      <c r="AB92" s="405"/>
      <c r="AC92" s="405"/>
      <c r="AD92" s="405"/>
      <c r="AE92" s="405"/>
      <c r="AF92" s="405" t="s">
        <v>1618</v>
      </c>
      <c r="AG92" s="405"/>
      <c r="AH92" s="405"/>
      <c r="AI92" s="405"/>
      <c r="AJ92" s="405" t="s">
        <v>1618</v>
      </c>
      <c r="AK92" s="405"/>
      <c r="AL92" s="405"/>
      <c r="AM92" s="405"/>
      <c r="AN92" s="405"/>
      <c r="AO92" s="405"/>
      <c r="AP92" s="406" t="s">
        <v>2345</v>
      </c>
      <c r="AQ92" s="406"/>
      <c r="AR92" s="406" t="s">
        <v>2353</v>
      </c>
      <c r="AS92" s="406"/>
    </row>
    <row r="93" spans="1:45" ht="10.5" customHeight="1">
      <c r="A93" s="354" t="s">
        <v>50</v>
      </c>
      <c r="B93" s="354"/>
      <c r="C93" s="354"/>
      <c r="D93" s="354"/>
      <c r="E93" s="407" t="s">
        <v>1804</v>
      </c>
      <c r="F93" s="407"/>
      <c r="G93" s="407"/>
      <c r="H93" s="354" t="s">
        <v>1805</v>
      </c>
      <c r="I93" s="354"/>
      <c r="J93" s="354"/>
      <c r="K93" s="354"/>
      <c r="L93" s="354"/>
      <c r="M93" s="354"/>
      <c r="N93" s="354"/>
      <c r="O93" s="354"/>
      <c r="P93" s="354"/>
      <c r="Q93" s="354"/>
      <c r="R93" s="354"/>
      <c r="S93" s="354"/>
      <c r="T93" s="354"/>
      <c r="U93" s="354"/>
      <c r="V93" s="354"/>
      <c r="W93" s="354"/>
      <c r="X93" s="354"/>
      <c r="Y93" s="354"/>
      <c r="Z93" s="355" t="s">
        <v>51</v>
      </c>
      <c r="AA93" s="355"/>
      <c r="AB93" s="355"/>
      <c r="AC93" s="355"/>
      <c r="AD93" s="355"/>
      <c r="AE93" s="355"/>
      <c r="AF93" s="355" t="s">
        <v>51</v>
      </c>
      <c r="AG93" s="355"/>
      <c r="AH93" s="355"/>
      <c r="AI93" s="355"/>
      <c r="AJ93" s="355" t="s">
        <v>52</v>
      </c>
      <c r="AK93" s="355"/>
      <c r="AL93" s="355"/>
      <c r="AM93" s="355"/>
      <c r="AN93" s="355"/>
      <c r="AO93" s="355"/>
      <c r="AP93" s="408" t="s">
        <v>53</v>
      </c>
      <c r="AQ93" s="408"/>
      <c r="AR93" s="408" t="s">
        <v>53</v>
      </c>
      <c r="AS93" s="408"/>
    </row>
    <row r="94" spans="1:45" ht="10.5" customHeight="1">
      <c r="A94" s="343" t="s">
        <v>50</v>
      </c>
      <c r="B94" s="343"/>
      <c r="C94" s="343"/>
      <c r="D94" s="343"/>
      <c r="E94" s="348" t="s">
        <v>1811</v>
      </c>
      <c r="F94" s="348"/>
      <c r="G94" s="348"/>
      <c r="H94" s="343" t="s">
        <v>1812</v>
      </c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52" t="s">
        <v>1770</v>
      </c>
      <c r="AA94" s="352"/>
      <c r="AB94" s="352"/>
      <c r="AC94" s="352"/>
      <c r="AD94" s="352"/>
      <c r="AE94" s="352"/>
      <c r="AF94" s="352" t="s">
        <v>1770</v>
      </c>
      <c r="AG94" s="352"/>
      <c r="AH94" s="352"/>
      <c r="AI94" s="352"/>
      <c r="AJ94" s="352" t="s">
        <v>54</v>
      </c>
      <c r="AK94" s="352"/>
      <c r="AL94" s="352"/>
      <c r="AM94" s="352"/>
      <c r="AN94" s="352"/>
      <c r="AO94" s="352"/>
      <c r="AP94" s="403" t="s">
        <v>55</v>
      </c>
      <c r="AQ94" s="403"/>
      <c r="AR94" s="403" t="s">
        <v>55</v>
      </c>
      <c r="AS94" s="403"/>
    </row>
    <row r="95" spans="1:45" ht="10.5" customHeight="1">
      <c r="A95" s="343" t="s">
        <v>50</v>
      </c>
      <c r="B95" s="343"/>
      <c r="C95" s="343"/>
      <c r="D95" s="343"/>
      <c r="E95" s="348" t="s">
        <v>1825</v>
      </c>
      <c r="F95" s="348"/>
      <c r="G95" s="348"/>
      <c r="H95" s="343" t="s">
        <v>2299</v>
      </c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52" t="s">
        <v>56</v>
      </c>
      <c r="AA95" s="352"/>
      <c r="AB95" s="352"/>
      <c r="AC95" s="352"/>
      <c r="AD95" s="352"/>
      <c r="AE95" s="352"/>
      <c r="AF95" s="352" t="s">
        <v>56</v>
      </c>
      <c r="AG95" s="352"/>
      <c r="AH95" s="352"/>
      <c r="AI95" s="352"/>
      <c r="AJ95" s="352" t="s">
        <v>57</v>
      </c>
      <c r="AK95" s="352"/>
      <c r="AL95" s="352"/>
      <c r="AM95" s="352"/>
      <c r="AN95" s="352"/>
      <c r="AO95" s="352"/>
      <c r="AP95" s="403" t="s">
        <v>58</v>
      </c>
      <c r="AQ95" s="403"/>
      <c r="AR95" s="403" t="s">
        <v>58</v>
      </c>
      <c r="AS95" s="403"/>
    </row>
    <row r="96" spans="1:45" ht="10.5" customHeight="1">
      <c r="A96" s="343" t="s">
        <v>50</v>
      </c>
      <c r="B96" s="343"/>
      <c r="C96" s="343"/>
      <c r="D96" s="343"/>
      <c r="E96" s="348" t="s">
        <v>1830</v>
      </c>
      <c r="F96" s="348"/>
      <c r="G96" s="348"/>
      <c r="H96" s="343" t="s">
        <v>2300</v>
      </c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52" t="s">
        <v>2464</v>
      </c>
      <c r="AA96" s="352"/>
      <c r="AB96" s="352"/>
      <c r="AC96" s="352"/>
      <c r="AD96" s="352"/>
      <c r="AE96" s="352"/>
      <c r="AF96" s="352" t="s">
        <v>2464</v>
      </c>
      <c r="AG96" s="352"/>
      <c r="AH96" s="352"/>
      <c r="AI96" s="352"/>
      <c r="AJ96" s="352" t="s">
        <v>59</v>
      </c>
      <c r="AK96" s="352"/>
      <c r="AL96" s="352"/>
      <c r="AM96" s="352"/>
      <c r="AN96" s="352"/>
      <c r="AO96" s="352"/>
      <c r="AP96" s="403" t="s">
        <v>60</v>
      </c>
      <c r="AQ96" s="403"/>
      <c r="AR96" s="403" t="s">
        <v>60</v>
      </c>
      <c r="AS96" s="403"/>
    </row>
    <row r="97" spans="1:45" ht="10.5" customHeight="1">
      <c r="A97" s="343" t="s">
        <v>50</v>
      </c>
      <c r="B97" s="343"/>
      <c r="C97" s="343"/>
      <c r="D97" s="343"/>
      <c r="E97" s="348" t="s">
        <v>1835</v>
      </c>
      <c r="F97" s="348"/>
      <c r="G97" s="348"/>
      <c r="H97" s="343" t="s">
        <v>1836</v>
      </c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52" t="s">
        <v>61</v>
      </c>
      <c r="AA97" s="352"/>
      <c r="AB97" s="352"/>
      <c r="AC97" s="352"/>
      <c r="AD97" s="352"/>
      <c r="AE97" s="352"/>
      <c r="AF97" s="352" t="s">
        <v>61</v>
      </c>
      <c r="AG97" s="352"/>
      <c r="AH97" s="352"/>
      <c r="AI97" s="352"/>
      <c r="AJ97" s="352" t="s">
        <v>62</v>
      </c>
      <c r="AK97" s="352"/>
      <c r="AL97" s="352"/>
      <c r="AM97" s="352"/>
      <c r="AN97" s="352"/>
      <c r="AO97" s="352"/>
      <c r="AP97" s="403" t="s">
        <v>63</v>
      </c>
      <c r="AQ97" s="403"/>
      <c r="AR97" s="403" t="s">
        <v>63</v>
      </c>
      <c r="AS97" s="403"/>
    </row>
    <row r="98" spans="1:45" ht="10.5" customHeight="1">
      <c r="A98" s="343" t="s">
        <v>50</v>
      </c>
      <c r="B98" s="343"/>
      <c r="C98" s="343"/>
      <c r="D98" s="343"/>
      <c r="E98" s="348" t="s">
        <v>1860</v>
      </c>
      <c r="F98" s="348"/>
      <c r="G98" s="348"/>
      <c r="H98" s="343" t="s">
        <v>1861</v>
      </c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52"/>
      <c r="AA98" s="352"/>
      <c r="AB98" s="352"/>
      <c r="AC98" s="352"/>
      <c r="AD98" s="352"/>
      <c r="AE98" s="352"/>
      <c r="AF98" s="352"/>
      <c r="AG98" s="352"/>
      <c r="AH98" s="352"/>
      <c r="AI98" s="352"/>
      <c r="AJ98" s="352" t="s">
        <v>64</v>
      </c>
      <c r="AK98" s="352"/>
      <c r="AL98" s="352"/>
      <c r="AM98" s="352"/>
      <c r="AN98" s="352"/>
      <c r="AO98" s="352"/>
      <c r="AP98" s="403" t="s">
        <v>2345</v>
      </c>
      <c r="AQ98" s="403"/>
      <c r="AR98" s="403" t="s">
        <v>2345</v>
      </c>
      <c r="AS98" s="403"/>
    </row>
    <row r="99" spans="1:45" ht="10.5" customHeight="1">
      <c r="A99" s="343" t="s">
        <v>50</v>
      </c>
      <c r="B99" s="343"/>
      <c r="C99" s="343"/>
      <c r="D99" s="343"/>
      <c r="E99" s="348" t="s">
        <v>1865</v>
      </c>
      <c r="F99" s="348"/>
      <c r="G99" s="348"/>
      <c r="H99" s="343" t="s">
        <v>2304</v>
      </c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52" t="s">
        <v>65</v>
      </c>
      <c r="AA99" s="352"/>
      <c r="AB99" s="352"/>
      <c r="AC99" s="352"/>
      <c r="AD99" s="352"/>
      <c r="AE99" s="352"/>
      <c r="AF99" s="352" t="s">
        <v>65</v>
      </c>
      <c r="AG99" s="352"/>
      <c r="AH99" s="352"/>
      <c r="AI99" s="352"/>
      <c r="AJ99" s="352" t="s">
        <v>66</v>
      </c>
      <c r="AK99" s="352"/>
      <c r="AL99" s="352"/>
      <c r="AM99" s="352"/>
      <c r="AN99" s="352"/>
      <c r="AO99" s="352"/>
      <c r="AP99" s="403" t="s">
        <v>67</v>
      </c>
      <c r="AQ99" s="403"/>
      <c r="AR99" s="403" t="s">
        <v>67</v>
      </c>
      <c r="AS99" s="403"/>
    </row>
    <row r="100" spans="1:45" ht="10.5" customHeight="1">
      <c r="A100" s="343" t="s">
        <v>50</v>
      </c>
      <c r="B100" s="343"/>
      <c r="C100" s="343"/>
      <c r="D100" s="343"/>
      <c r="E100" s="348" t="s">
        <v>1875</v>
      </c>
      <c r="F100" s="348"/>
      <c r="G100" s="348"/>
      <c r="H100" s="343" t="s">
        <v>1876</v>
      </c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52" t="s">
        <v>65</v>
      </c>
      <c r="AA100" s="352"/>
      <c r="AB100" s="352"/>
      <c r="AC100" s="352"/>
      <c r="AD100" s="352"/>
      <c r="AE100" s="352"/>
      <c r="AF100" s="352" t="s">
        <v>65</v>
      </c>
      <c r="AG100" s="352"/>
      <c r="AH100" s="352"/>
      <c r="AI100" s="352"/>
      <c r="AJ100" s="352" t="s">
        <v>68</v>
      </c>
      <c r="AK100" s="352"/>
      <c r="AL100" s="352"/>
      <c r="AM100" s="352"/>
      <c r="AN100" s="352"/>
      <c r="AO100" s="352"/>
      <c r="AP100" s="403" t="s">
        <v>69</v>
      </c>
      <c r="AQ100" s="403"/>
      <c r="AR100" s="403" t="s">
        <v>69</v>
      </c>
      <c r="AS100" s="403"/>
    </row>
    <row r="101" spans="1:45" ht="10.5" customHeight="1">
      <c r="A101" s="343" t="s">
        <v>50</v>
      </c>
      <c r="B101" s="343"/>
      <c r="C101" s="343"/>
      <c r="D101" s="343"/>
      <c r="E101" s="348" t="s">
        <v>1880</v>
      </c>
      <c r="F101" s="348"/>
      <c r="G101" s="348"/>
      <c r="H101" s="343" t="s">
        <v>1881</v>
      </c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52" t="s">
        <v>70</v>
      </c>
      <c r="AA101" s="352"/>
      <c r="AB101" s="352"/>
      <c r="AC101" s="352"/>
      <c r="AD101" s="352"/>
      <c r="AE101" s="352"/>
      <c r="AF101" s="352" t="s">
        <v>71</v>
      </c>
      <c r="AG101" s="352"/>
      <c r="AH101" s="352"/>
      <c r="AI101" s="352"/>
      <c r="AJ101" s="352" t="s">
        <v>72</v>
      </c>
      <c r="AK101" s="352"/>
      <c r="AL101" s="352"/>
      <c r="AM101" s="352"/>
      <c r="AN101" s="352"/>
      <c r="AO101" s="352"/>
      <c r="AP101" s="403" t="s">
        <v>73</v>
      </c>
      <c r="AQ101" s="403"/>
      <c r="AR101" s="403" t="s">
        <v>2353</v>
      </c>
      <c r="AS101" s="403"/>
    </row>
    <row r="102" spans="1:45" ht="10.5" customHeight="1">
      <c r="A102" s="343" t="s">
        <v>50</v>
      </c>
      <c r="B102" s="343"/>
      <c r="C102" s="343"/>
      <c r="D102" s="343"/>
      <c r="E102" s="348" t="s">
        <v>1885</v>
      </c>
      <c r="F102" s="348"/>
      <c r="G102" s="348"/>
      <c r="H102" s="343" t="s">
        <v>1886</v>
      </c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52" t="s">
        <v>74</v>
      </c>
      <c r="AA102" s="352"/>
      <c r="AB102" s="352"/>
      <c r="AC102" s="352"/>
      <c r="AD102" s="352"/>
      <c r="AE102" s="352"/>
      <c r="AF102" s="352" t="s">
        <v>2091</v>
      </c>
      <c r="AG102" s="352"/>
      <c r="AH102" s="352"/>
      <c r="AI102" s="352"/>
      <c r="AJ102" s="352" t="s">
        <v>75</v>
      </c>
      <c r="AK102" s="352"/>
      <c r="AL102" s="352"/>
      <c r="AM102" s="352"/>
      <c r="AN102" s="352"/>
      <c r="AO102" s="352"/>
      <c r="AP102" s="403" t="s">
        <v>76</v>
      </c>
      <c r="AQ102" s="403"/>
      <c r="AR102" s="403" t="s">
        <v>77</v>
      </c>
      <c r="AS102" s="403"/>
    </row>
    <row r="103" spans="1:45" ht="10.5" customHeight="1">
      <c r="A103" s="343" t="s">
        <v>50</v>
      </c>
      <c r="B103" s="343"/>
      <c r="C103" s="343"/>
      <c r="D103" s="343"/>
      <c r="E103" s="348" t="s">
        <v>1905</v>
      </c>
      <c r="F103" s="348"/>
      <c r="G103" s="348"/>
      <c r="H103" s="343" t="s">
        <v>1906</v>
      </c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52" t="s">
        <v>78</v>
      </c>
      <c r="AA103" s="352"/>
      <c r="AB103" s="352"/>
      <c r="AC103" s="352"/>
      <c r="AD103" s="352"/>
      <c r="AE103" s="352"/>
      <c r="AF103" s="352" t="s">
        <v>2026</v>
      </c>
      <c r="AG103" s="352"/>
      <c r="AH103" s="352"/>
      <c r="AI103" s="352"/>
      <c r="AJ103" s="352" t="s">
        <v>79</v>
      </c>
      <c r="AK103" s="352"/>
      <c r="AL103" s="352"/>
      <c r="AM103" s="352"/>
      <c r="AN103" s="352"/>
      <c r="AO103" s="352"/>
      <c r="AP103" s="403" t="s">
        <v>80</v>
      </c>
      <c r="AQ103" s="403"/>
      <c r="AR103" s="403" t="s">
        <v>81</v>
      </c>
      <c r="AS103" s="403"/>
    </row>
    <row r="104" spans="1:45" ht="10.5" customHeight="1">
      <c r="A104" s="343" t="s">
        <v>50</v>
      </c>
      <c r="B104" s="343"/>
      <c r="C104" s="343"/>
      <c r="D104" s="343"/>
      <c r="E104" s="348" t="s">
        <v>1910</v>
      </c>
      <c r="F104" s="348"/>
      <c r="G104" s="348"/>
      <c r="H104" s="343" t="s">
        <v>1911</v>
      </c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52"/>
      <c r="AA104" s="352"/>
      <c r="AB104" s="352"/>
      <c r="AC104" s="352"/>
      <c r="AD104" s="352"/>
      <c r="AE104" s="352"/>
      <c r="AF104" s="352"/>
      <c r="AG104" s="352"/>
      <c r="AH104" s="352"/>
      <c r="AI104" s="352"/>
      <c r="AJ104" s="352" t="s">
        <v>2353</v>
      </c>
      <c r="AK104" s="352"/>
      <c r="AL104" s="352"/>
      <c r="AM104" s="352"/>
      <c r="AN104" s="352"/>
      <c r="AO104" s="352"/>
      <c r="AP104" s="403" t="s">
        <v>2345</v>
      </c>
      <c r="AQ104" s="403"/>
      <c r="AR104" s="403" t="s">
        <v>2345</v>
      </c>
      <c r="AS104" s="403"/>
    </row>
    <row r="105" spans="1:45" ht="10.5" customHeight="1">
      <c r="A105" s="343" t="s">
        <v>50</v>
      </c>
      <c r="B105" s="343"/>
      <c r="C105" s="343"/>
      <c r="D105" s="343"/>
      <c r="E105" s="348" t="s">
        <v>1925</v>
      </c>
      <c r="F105" s="348"/>
      <c r="G105" s="348"/>
      <c r="H105" s="343" t="s">
        <v>1926</v>
      </c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 t="s">
        <v>82</v>
      </c>
      <c r="AK105" s="352"/>
      <c r="AL105" s="352"/>
      <c r="AM105" s="352"/>
      <c r="AN105" s="352"/>
      <c r="AO105" s="352"/>
      <c r="AP105" s="403" t="s">
        <v>2345</v>
      </c>
      <c r="AQ105" s="403"/>
      <c r="AR105" s="403" t="s">
        <v>2345</v>
      </c>
      <c r="AS105" s="403"/>
    </row>
    <row r="106" spans="1:45" ht="10.5" customHeight="1">
      <c r="A106" s="343" t="s">
        <v>50</v>
      </c>
      <c r="B106" s="343"/>
      <c r="C106" s="343"/>
      <c r="D106" s="343"/>
      <c r="E106" s="348" t="s">
        <v>1930</v>
      </c>
      <c r="F106" s="348"/>
      <c r="G106" s="348"/>
      <c r="H106" s="343" t="s">
        <v>1931</v>
      </c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52" t="s">
        <v>2015</v>
      </c>
      <c r="AA106" s="352"/>
      <c r="AB106" s="352"/>
      <c r="AC106" s="352"/>
      <c r="AD106" s="352"/>
      <c r="AE106" s="352"/>
      <c r="AF106" s="352" t="s">
        <v>2015</v>
      </c>
      <c r="AG106" s="352"/>
      <c r="AH106" s="352"/>
      <c r="AI106" s="352"/>
      <c r="AJ106" s="352" t="s">
        <v>83</v>
      </c>
      <c r="AK106" s="352"/>
      <c r="AL106" s="352"/>
      <c r="AM106" s="352"/>
      <c r="AN106" s="352"/>
      <c r="AO106" s="352"/>
      <c r="AP106" s="403" t="s">
        <v>84</v>
      </c>
      <c r="AQ106" s="403"/>
      <c r="AR106" s="403" t="s">
        <v>84</v>
      </c>
      <c r="AS106" s="403"/>
    </row>
    <row r="107" spans="1:45" ht="10.5" customHeight="1">
      <c r="A107" s="343" t="s">
        <v>50</v>
      </c>
      <c r="B107" s="343"/>
      <c r="C107" s="343"/>
      <c r="D107" s="343"/>
      <c r="E107" s="348" t="s">
        <v>2057</v>
      </c>
      <c r="F107" s="348"/>
      <c r="G107" s="348"/>
      <c r="H107" s="343" t="s">
        <v>2058</v>
      </c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52"/>
      <c r="AA107" s="352"/>
      <c r="AB107" s="352"/>
      <c r="AC107" s="352"/>
      <c r="AD107" s="352"/>
      <c r="AE107" s="352"/>
      <c r="AF107" s="352" t="s">
        <v>1770</v>
      </c>
      <c r="AG107" s="352"/>
      <c r="AH107" s="352"/>
      <c r="AI107" s="352"/>
      <c r="AJ107" s="352"/>
      <c r="AK107" s="352"/>
      <c r="AL107" s="352"/>
      <c r="AM107" s="352"/>
      <c r="AN107" s="352"/>
      <c r="AO107" s="352"/>
      <c r="AP107" s="403" t="s">
        <v>2345</v>
      </c>
      <c r="AQ107" s="403"/>
      <c r="AR107" s="403"/>
      <c r="AS107" s="403"/>
    </row>
    <row r="108" spans="1:45" ht="10.5" customHeight="1">
      <c r="A108" s="343" t="s">
        <v>50</v>
      </c>
      <c r="B108" s="343"/>
      <c r="C108" s="343"/>
      <c r="D108" s="343"/>
      <c r="E108" s="348" t="s">
        <v>2075</v>
      </c>
      <c r="F108" s="348"/>
      <c r="G108" s="348"/>
      <c r="H108" s="343" t="s">
        <v>2076</v>
      </c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52"/>
      <c r="AA108" s="352"/>
      <c r="AB108" s="352"/>
      <c r="AC108" s="352"/>
      <c r="AD108" s="352"/>
      <c r="AE108" s="352"/>
      <c r="AF108" s="352" t="s">
        <v>85</v>
      </c>
      <c r="AG108" s="352"/>
      <c r="AH108" s="352"/>
      <c r="AI108" s="352"/>
      <c r="AJ108" s="352" t="s">
        <v>86</v>
      </c>
      <c r="AK108" s="352"/>
      <c r="AL108" s="352"/>
      <c r="AM108" s="352"/>
      <c r="AN108" s="352"/>
      <c r="AO108" s="352"/>
      <c r="AP108" s="403" t="s">
        <v>2345</v>
      </c>
      <c r="AQ108" s="403"/>
      <c r="AR108" s="403" t="s">
        <v>87</v>
      </c>
      <c r="AS108" s="403"/>
    </row>
    <row r="109" spans="1:45" ht="13.5" thickBot="1">
      <c r="A109" s="404" t="s">
        <v>50</v>
      </c>
      <c r="B109" s="404"/>
      <c r="C109" s="404"/>
      <c r="D109" s="404"/>
      <c r="E109" s="404" t="s">
        <v>88</v>
      </c>
      <c r="F109" s="404"/>
      <c r="G109" s="404"/>
      <c r="H109" s="404"/>
      <c r="I109" s="404"/>
      <c r="J109" s="404"/>
      <c r="K109" s="404"/>
      <c r="L109" s="404"/>
      <c r="M109" s="404"/>
      <c r="N109" s="404"/>
      <c r="O109" s="404"/>
      <c r="P109" s="404"/>
      <c r="Q109" s="404"/>
      <c r="R109" s="404"/>
      <c r="S109" s="404"/>
      <c r="T109" s="404"/>
      <c r="U109" s="404"/>
      <c r="V109" s="404"/>
      <c r="W109" s="404"/>
      <c r="X109" s="404"/>
      <c r="Y109" s="404"/>
      <c r="Z109" s="405" t="s">
        <v>89</v>
      </c>
      <c r="AA109" s="405"/>
      <c r="AB109" s="405"/>
      <c r="AC109" s="405"/>
      <c r="AD109" s="405"/>
      <c r="AE109" s="405"/>
      <c r="AF109" s="405" t="s">
        <v>90</v>
      </c>
      <c r="AG109" s="405"/>
      <c r="AH109" s="405"/>
      <c r="AI109" s="405"/>
      <c r="AJ109" s="405" t="s">
        <v>91</v>
      </c>
      <c r="AK109" s="405"/>
      <c r="AL109" s="405"/>
      <c r="AM109" s="405"/>
      <c r="AN109" s="405"/>
      <c r="AO109" s="405"/>
      <c r="AP109" s="406" t="s">
        <v>92</v>
      </c>
      <c r="AQ109" s="406"/>
      <c r="AR109" s="406" t="s">
        <v>93</v>
      </c>
      <c r="AS109" s="406"/>
    </row>
    <row r="110" spans="1:45" ht="12.75">
      <c r="A110" s="350" t="s">
        <v>2330</v>
      </c>
      <c r="B110" s="350"/>
      <c r="C110" s="350"/>
      <c r="D110" s="350"/>
      <c r="E110" s="350" t="s">
        <v>2287</v>
      </c>
      <c r="F110" s="350"/>
      <c r="G110" s="350"/>
      <c r="H110" s="350" t="s">
        <v>1574</v>
      </c>
      <c r="I110" s="350"/>
      <c r="J110" s="350"/>
      <c r="K110" s="350"/>
      <c r="L110" s="350"/>
      <c r="M110" s="350"/>
      <c r="N110" s="350"/>
      <c r="O110" s="350"/>
      <c r="P110" s="350"/>
      <c r="Q110" s="350"/>
      <c r="R110" s="350"/>
      <c r="S110" s="350"/>
      <c r="T110" s="350"/>
      <c r="U110" s="350"/>
      <c r="V110" s="350"/>
      <c r="W110" s="350"/>
      <c r="X110" s="350"/>
      <c r="Y110" s="350"/>
      <c r="Z110" s="351" t="s">
        <v>1575</v>
      </c>
      <c r="AA110" s="351"/>
      <c r="AB110" s="351"/>
      <c r="AC110" s="351"/>
      <c r="AD110" s="351"/>
      <c r="AE110" s="351"/>
      <c r="AF110" s="351" t="s">
        <v>1576</v>
      </c>
      <c r="AG110" s="351"/>
      <c r="AH110" s="351"/>
      <c r="AI110" s="351"/>
      <c r="AJ110" s="351" t="s">
        <v>2331</v>
      </c>
      <c r="AK110" s="351"/>
      <c r="AL110" s="351"/>
      <c r="AM110" s="351"/>
      <c r="AN110" s="351"/>
      <c r="AO110" s="351"/>
      <c r="AP110" s="351" t="s">
        <v>2332</v>
      </c>
      <c r="AQ110" s="351"/>
      <c r="AR110" s="351" t="s">
        <v>2333</v>
      </c>
      <c r="AS110" s="351"/>
    </row>
    <row r="111" spans="1:45" ht="9.75" customHeight="1" thickBot="1">
      <c r="A111" s="398" t="s">
        <v>2334</v>
      </c>
      <c r="B111" s="398"/>
      <c r="C111" s="398"/>
      <c r="D111" s="398"/>
      <c r="E111" s="398" t="s">
        <v>2335</v>
      </c>
      <c r="F111" s="398"/>
      <c r="G111" s="398"/>
      <c r="H111" s="399"/>
      <c r="I111" s="399"/>
      <c r="J111" s="399"/>
      <c r="K111" s="399"/>
      <c r="L111" s="399"/>
      <c r="M111" s="399"/>
      <c r="N111" s="399"/>
      <c r="O111" s="399"/>
      <c r="P111" s="399"/>
      <c r="Q111" s="399"/>
      <c r="R111" s="399"/>
      <c r="S111" s="399"/>
      <c r="T111" s="399"/>
      <c r="U111" s="399"/>
      <c r="V111" s="399"/>
      <c r="W111" s="399"/>
      <c r="X111" s="399"/>
      <c r="Y111" s="399"/>
      <c r="Z111" s="399" t="s">
        <v>1659</v>
      </c>
      <c r="AA111" s="399"/>
      <c r="AB111" s="399"/>
      <c r="AC111" s="399"/>
      <c r="AD111" s="399"/>
      <c r="AE111" s="399"/>
      <c r="AF111" s="399" t="s">
        <v>1729</v>
      </c>
      <c r="AG111" s="399"/>
      <c r="AH111" s="399"/>
      <c r="AI111" s="399"/>
      <c r="AJ111" s="399" t="s">
        <v>2336</v>
      </c>
      <c r="AK111" s="399"/>
      <c r="AL111" s="399"/>
      <c r="AM111" s="399"/>
      <c r="AN111" s="399"/>
      <c r="AO111" s="399"/>
      <c r="AP111" s="399"/>
      <c r="AQ111" s="399"/>
      <c r="AR111" s="399"/>
      <c r="AS111" s="399"/>
    </row>
    <row r="112" spans="1:45" ht="4.5" customHeight="1" thickBot="1">
      <c r="A112" s="400"/>
      <c r="B112" s="400"/>
      <c r="C112" s="400"/>
      <c r="D112" s="400"/>
      <c r="E112" s="400"/>
      <c r="F112" s="400"/>
      <c r="G112" s="400"/>
      <c r="H112" s="400"/>
      <c r="I112" s="400"/>
      <c r="J112" s="400"/>
      <c r="K112" s="400"/>
      <c r="L112" s="400"/>
      <c r="M112" s="400"/>
      <c r="N112" s="400"/>
      <c r="O112" s="400"/>
      <c r="P112" s="400"/>
      <c r="Q112" s="400"/>
      <c r="R112" s="400"/>
      <c r="S112" s="400"/>
      <c r="T112" s="400"/>
      <c r="U112" s="400"/>
      <c r="V112" s="400"/>
      <c r="W112" s="400"/>
      <c r="X112" s="400"/>
      <c r="Y112" s="400"/>
      <c r="Z112" s="401"/>
      <c r="AA112" s="401"/>
      <c r="AB112" s="401"/>
      <c r="AC112" s="401"/>
      <c r="AD112" s="401"/>
      <c r="AE112" s="401"/>
      <c r="AF112" s="401"/>
      <c r="AG112" s="401"/>
      <c r="AH112" s="401"/>
      <c r="AI112" s="401"/>
      <c r="AJ112" s="401"/>
      <c r="AK112" s="401"/>
      <c r="AL112" s="401"/>
      <c r="AM112" s="401"/>
      <c r="AN112" s="401"/>
      <c r="AO112" s="401"/>
      <c r="AP112" s="402"/>
      <c r="AQ112" s="402"/>
      <c r="AR112" s="402"/>
      <c r="AS112" s="402"/>
    </row>
    <row r="113" spans="1:45" ht="10.5" customHeight="1">
      <c r="A113" s="354" t="s">
        <v>2367</v>
      </c>
      <c r="B113" s="354"/>
      <c r="C113" s="354"/>
      <c r="D113" s="354"/>
      <c r="E113" s="407" t="s">
        <v>1804</v>
      </c>
      <c r="F113" s="407"/>
      <c r="G113" s="407"/>
      <c r="H113" s="354" t="s">
        <v>1805</v>
      </c>
      <c r="I113" s="354"/>
      <c r="J113" s="354"/>
      <c r="K113" s="354"/>
      <c r="L113" s="354"/>
      <c r="M113" s="354"/>
      <c r="N113" s="354"/>
      <c r="O113" s="354"/>
      <c r="P113" s="354"/>
      <c r="Q113" s="354"/>
      <c r="R113" s="354"/>
      <c r="S113" s="354"/>
      <c r="T113" s="354"/>
      <c r="U113" s="354"/>
      <c r="V113" s="354"/>
      <c r="W113" s="354"/>
      <c r="X113" s="354"/>
      <c r="Y113" s="354"/>
      <c r="Z113" s="355" t="s">
        <v>94</v>
      </c>
      <c r="AA113" s="355"/>
      <c r="AB113" s="355"/>
      <c r="AC113" s="355"/>
      <c r="AD113" s="355"/>
      <c r="AE113" s="355"/>
      <c r="AF113" s="355" t="s">
        <v>95</v>
      </c>
      <c r="AG113" s="355"/>
      <c r="AH113" s="355"/>
      <c r="AI113" s="355"/>
      <c r="AJ113" s="355" t="s">
        <v>96</v>
      </c>
      <c r="AK113" s="355"/>
      <c r="AL113" s="355"/>
      <c r="AM113" s="355"/>
      <c r="AN113" s="355"/>
      <c r="AO113" s="355"/>
      <c r="AP113" s="408" t="s">
        <v>97</v>
      </c>
      <c r="AQ113" s="408"/>
      <c r="AR113" s="408" t="s">
        <v>98</v>
      </c>
      <c r="AS113" s="408"/>
    </row>
    <row r="114" spans="1:45" ht="10.5" customHeight="1">
      <c r="A114" s="343" t="s">
        <v>2367</v>
      </c>
      <c r="B114" s="343"/>
      <c r="C114" s="343"/>
      <c r="D114" s="343"/>
      <c r="E114" s="348" t="s">
        <v>1811</v>
      </c>
      <c r="F114" s="348"/>
      <c r="G114" s="348"/>
      <c r="H114" s="343" t="s">
        <v>1812</v>
      </c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52"/>
      <c r="AA114" s="352"/>
      <c r="AB114" s="352"/>
      <c r="AC114" s="352"/>
      <c r="AD114" s="352"/>
      <c r="AE114" s="352"/>
      <c r="AF114" s="352"/>
      <c r="AG114" s="352"/>
      <c r="AH114" s="352"/>
      <c r="AI114" s="352"/>
      <c r="AJ114" s="352" t="s">
        <v>99</v>
      </c>
      <c r="AK114" s="352"/>
      <c r="AL114" s="352"/>
      <c r="AM114" s="352"/>
      <c r="AN114" s="352"/>
      <c r="AO114" s="352"/>
      <c r="AP114" s="403" t="s">
        <v>2345</v>
      </c>
      <c r="AQ114" s="403"/>
      <c r="AR114" s="403" t="s">
        <v>2345</v>
      </c>
      <c r="AS114" s="403"/>
    </row>
    <row r="115" spans="1:45" ht="10.5" customHeight="1">
      <c r="A115" s="343" t="s">
        <v>2367</v>
      </c>
      <c r="B115" s="343"/>
      <c r="C115" s="343"/>
      <c r="D115" s="343"/>
      <c r="E115" s="348" t="s">
        <v>1825</v>
      </c>
      <c r="F115" s="348"/>
      <c r="G115" s="348"/>
      <c r="H115" s="343" t="s">
        <v>2299</v>
      </c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52" t="s">
        <v>100</v>
      </c>
      <c r="AA115" s="352"/>
      <c r="AB115" s="352"/>
      <c r="AC115" s="352"/>
      <c r="AD115" s="352"/>
      <c r="AE115" s="352"/>
      <c r="AF115" s="352" t="s">
        <v>101</v>
      </c>
      <c r="AG115" s="352"/>
      <c r="AH115" s="352"/>
      <c r="AI115" s="352"/>
      <c r="AJ115" s="352" t="s">
        <v>102</v>
      </c>
      <c r="AK115" s="352"/>
      <c r="AL115" s="352"/>
      <c r="AM115" s="352"/>
      <c r="AN115" s="352"/>
      <c r="AO115" s="352"/>
      <c r="AP115" s="403" t="s">
        <v>103</v>
      </c>
      <c r="AQ115" s="403"/>
      <c r="AR115" s="403" t="s">
        <v>104</v>
      </c>
      <c r="AS115" s="403"/>
    </row>
    <row r="116" spans="1:45" ht="10.5" customHeight="1">
      <c r="A116" s="343" t="s">
        <v>2367</v>
      </c>
      <c r="B116" s="343"/>
      <c r="C116" s="343"/>
      <c r="D116" s="343"/>
      <c r="E116" s="348" t="s">
        <v>1830</v>
      </c>
      <c r="F116" s="348"/>
      <c r="G116" s="348"/>
      <c r="H116" s="343" t="s">
        <v>2300</v>
      </c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52" t="s">
        <v>105</v>
      </c>
      <c r="AA116" s="352"/>
      <c r="AB116" s="352"/>
      <c r="AC116" s="352"/>
      <c r="AD116" s="352"/>
      <c r="AE116" s="352"/>
      <c r="AF116" s="352" t="s">
        <v>106</v>
      </c>
      <c r="AG116" s="352"/>
      <c r="AH116" s="352"/>
      <c r="AI116" s="352"/>
      <c r="AJ116" s="352" t="s">
        <v>107</v>
      </c>
      <c r="AK116" s="352"/>
      <c r="AL116" s="352"/>
      <c r="AM116" s="352"/>
      <c r="AN116" s="352"/>
      <c r="AO116" s="352"/>
      <c r="AP116" s="403" t="s">
        <v>108</v>
      </c>
      <c r="AQ116" s="403"/>
      <c r="AR116" s="403" t="s">
        <v>109</v>
      </c>
      <c r="AS116" s="403"/>
    </row>
    <row r="117" spans="1:45" ht="10.5" customHeight="1">
      <c r="A117" s="343" t="s">
        <v>2367</v>
      </c>
      <c r="B117" s="343"/>
      <c r="C117" s="343"/>
      <c r="D117" s="343"/>
      <c r="E117" s="348" t="s">
        <v>1835</v>
      </c>
      <c r="F117" s="348"/>
      <c r="G117" s="348"/>
      <c r="H117" s="343" t="s">
        <v>1836</v>
      </c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52" t="s">
        <v>110</v>
      </c>
      <c r="AA117" s="352"/>
      <c r="AB117" s="352"/>
      <c r="AC117" s="352"/>
      <c r="AD117" s="352"/>
      <c r="AE117" s="352"/>
      <c r="AF117" s="352" t="s">
        <v>110</v>
      </c>
      <c r="AG117" s="352"/>
      <c r="AH117" s="352"/>
      <c r="AI117" s="352"/>
      <c r="AJ117" s="352" t="s">
        <v>111</v>
      </c>
      <c r="AK117" s="352"/>
      <c r="AL117" s="352"/>
      <c r="AM117" s="352"/>
      <c r="AN117" s="352"/>
      <c r="AO117" s="352"/>
      <c r="AP117" s="403" t="s">
        <v>112</v>
      </c>
      <c r="AQ117" s="403"/>
      <c r="AR117" s="403" t="s">
        <v>112</v>
      </c>
      <c r="AS117" s="403"/>
    </row>
    <row r="118" spans="1:45" ht="10.5" customHeight="1">
      <c r="A118" s="343" t="s">
        <v>2367</v>
      </c>
      <c r="B118" s="343"/>
      <c r="C118" s="343"/>
      <c r="D118" s="343"/>
      <c r="E118" s="348" t="s">
        <v>1855</v>
      </c>
      <c r="F118" s="348"/>
      <c r="G118" s="348"/>
      <c r="H118" s="343" t="s">
        <v>1856</v>
      </c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52" t="s">
        <v>113</v>
      </c>
      <c r="AA118" s="352"/>
      <c r="AB118" s="352"/>
      <c r="AC118" s="352"/>
      <c r="AD118" s="352"/>
      <c r="AE118" s="352"/>
      <c r="AF118" s="352" t="s">
        <v>114</v>
      </c>
      <c r="AG118" s="352"/>
      <c r="AH118" s="352"/>
      <c r="AI118" s="352"/>
      <c r="AJ118" s="352" t="s">
        <v>115</v>
      </c>
      <c r="AK118" s="352"/>
      <c r="AL118" s="352"/>
      <c r="AM118" s="352"/>
      <c r="AN118" s="352"/>
      <c r="AO118" s="352"/>
      <c r="AP118" s="403" t="s">
        <v>116</v>
      </c>
      <c r="AQ118" s="403"/>
      <c r="AR118" s="403" t="s">
        <v>117</v>
      </c>
      <c r="AS118" s="403"/>
    </row>
    <row r="119" spans="1:45" ht="10.5" customHeight="1">
      <c r="A119" s="343" t="s">
        <v>2367</v>
      </c>
      <c r="B119" s="343"/>
      <c r="C119" s="343"/>
      <c r="D119" s="343"/>
      <c r="E119" s="348" t="s">
        <v>1860</v>
      </c>
      <c r="F119" s="348"/>
      <c r="G119" s="348"/>
      <c r="H119" s="343" t="s">
        <v>1861</v>
      </c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52"/>
      <c r="AA119" s="352"/>
      <c r="AB119" s="352"/>
      <c r="AC119" s="352"/>
      <c r="AD119" s="352"/>
      <c r="AE119" s="352"/>
      <c r="AF119" s="352" t="s">
        <v>2015</v>
      </c>
      <c r="AG119" s="352"/>
      <c r="AH119" s="352"/>
      <c r="AI119" s="352"/>
      <c r="AJ119" s="352" t="s">
        <v>118</v>
      </c>
      <c r="AK119" s="352"/>
      <c r="AL119" s="352"/>
      <c r="AM119" s="352"/>
      <c r="AN119" s="352"/>
      <c r="AO119" s="352"/>
      <c r="AP119" s="403" t="s">
        <v>2345</v>
      </c>
      <c r="AQ119" s="403"/>
      <c r="AR119" s="403" t="s">
        <v>119</v>
      </c>
      <c r="AS119" s="403"/>
    </row>
    <row r="120" spans="1:45" ht="10.5" customHeight="1">
      <c r="A120" s="343" t="s">
        <v>2367</v>
      </c>
      <c r="B120" s="343"/>
      <c r="C120" s="343"/>
      <c r="D120" s="343"/>
      <c r="E120" s="348" t="s">
        <v>1865</v>
      </c>
      <c r="F120" s="348"/>
      <c r="G120" s="348"/>
      <c r="H120" s="343" t="s">
        <v>2304</v>
      </c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52" t="s">
        <v>1917</v>
      </c>
      <c r="AA120" s="352"/>
      <c r="AB120" s="352"/>
      <c r="AC120" s="352"/>
      <c r="AD120" s="352"/>
      <c r="AE120" s="352"/>
      <c r="AF120" s="352" t="s">
        <v>1917</v>
      </c>
      <c r="AG120" s="352"/>
      <c r="AH120" s="352"/>
      <c r="AI120" s="352"/>
      <c r="AJ120" s="352" t="s">
        <v>120</v>
      </c>
      <c r="AK120" s="352"/>
      <c r="AL120" s="352"/>
      <c r="AM120" s="352"/>
      <c r="AN120" s="352"/>
      <c r="AO120" s="352"/>
      <c r="AP120" s="403" t="s">
        <v>121</v>
      </c>
      <c r="AQ120" s="403"/>
      <c r="AR120" s="403" t="s">
        <v>121</v>
      </c>
      <c r="AS120" s="403"/>
    </row>
    <row r="121" spans="1:45" ht="10.5" customHeight="1">
      <c r="A121" s="343" t="s">
        <v>2367</v>
      </c>
      <c r="B121" s="343"/>
      <c r="C121" s="343"/>
      <c r="D121" s="343"/>
      <c r="E121" s="348" t="s">
        <v>1880</v>
      </c>
      <c r="F121" s="348"/>
      <c r="G121" s="348"/>
      <c r="H121" s="343" t="s">
        <v>1881</v>
      </c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52" t="s">
        <v>122</v>
      </c>
      <c r="AA121" s="352"/>
      <c r="AB121" s="352"/>
      <c r="AC121" s="352"/>
      <c r="AD121" s="352"/>
      <c r="AE121" s="352"/>
      <c r="AF121" s="352" t="s">
        <v>123</v>
      </c>
      <c r="AG121" s="352"/>
      <c r="AH121" s="352"/>
      <c r="AI121" s="352"/>
      <c r="AJ121" s="352" t="s">
        <v>124</v>
      </c>
      <c r="AK121" s="352"/>
      <c r="AL121" s="352"/>
      <c r="AM121" s="352"/>
      <c r="AN121" s="352"/>
      <c r="AO121" s="352"/>
      <c r="AP121" s="403" t="s">
        <v>125</v>
      </c>
      <c r="AQ121" s="403"/>
      <c r="AR121" s="403" t="s">
        <v>126</v>
      </c>
      <c r="AS121" s="403"/>
    </row>
    <row r="122" spans="1:45" ht="10.5" customHeight="1">
      <c r="A122" s="343" t="s">
        <v>2367</v>
      </c>
      <c r="B122" s="343"/>
      <c r="C122" s="343"/>
      <c r="D122" s="343"/>
      <c r="E122" s="348" t="s">
        <v>1885</v>
      </c>
      <c r="F122" s="348"/>
      <c r="G122" s="348"/>
      <c r="H122" s="343" t="s">
        <v>1886</v>
      </c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52" t="s">
        <v>1975</v>
      </c>
      <c r="AA122" s="352"/>
      <c r="AB122" s="352"/>
      <c r="AC122" s="352"/>
      <c r="AD122" s="352"/>
      <c r="AE122" s="352"/>
      <c r="AF122" s="352" t="s">
        <v>1770</v>
      </c>
      <c r="AG122" s="352"/>
      <c r="AH122" s="352"/>
      <c r="AI122" s="352"/>
      <c r="AJ122" s="352" t="s">
        <v>127</v>
      </c>
      <c r="AK122" s="352"/>
      <c r="AL122" s="352"/>
      <c r="AM122" s="352"/>
      <c r="AN122" s="352"/>
      <c r="AO122" s="352"/>
      <c r="AP122" s="403" t="s">
        <v>128</v>
      </c>
      <c r="AQ122" s="403"/>
      <c r="AR122" s="403" t="s">
        <v>129</v>
      </c>
      <c r="AS122" s="403"/>
    </row>
    <row r="123" spans="1:45" ht="10.5" customHeight="1">
      <c r="A123" s="343" t="s">
        <v>2367</v>
      </c>
      <c r="B123" s="343"/>
      <c r="C123" s="343"/>
      <c r="D123" s="343"/>
      <c r="E123" s="348" t="s">
        <v>1900</v>
      </c>
      <c r="F123" s="348"/>
      <c r="G123" s="348"/>
      <c r="H123" s="343" t="s">
        <v>1901</v>
      </c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52" t="s">
        <v>130</v>
      </c>
      <c r="AA123" s="352"/>
      <c r="AB123" s="352"/>
      <c r="AC123" s="352"/>
      <c r="AD123" s="352"/>
      <c r="AE123" s="352"/>
      <c r="AF123" s="352" t="s">
        <v>130</v>
      </c>
      <c r="AG123" s="352"/>
      <c r="AH123" s="352"/>
      <c r="AI123" s="352"/>
      <c r="AJ123" s="352" t="s">
        <v>131</v>
      </c>
      <c r="AK123" s="352"/>
      <c r="AL123" s="352"/>
      <c r="AM123" s="352"/>
      <c r="AN123" s="352"/>
      <c r="AO123" s="352"/>
      <c r="AP123" s="403" t="s">
        <v>132</v>
      </c>
      <c r="AQ123" s="403"/>
      <c r="AR123" s="403" t="s">
        <v>132</v>
      </c>
      <c r="AS123" s="403"/>
    </row>
    <row r="124" spans="1:45" ht="10.5" customHeight="1">
      <c r="A124" s="343" t="s">
        <v>2367</v>
      </c>
      <c r="B124" s="343"/>
      <c r="C124" s="343"/>
      <c r="D124" s="343"/>
      <c r="E124" s="348" t="s">
        <v>1905</v>
      </c>
      <c r="F124" s="348"/>
      <c r="G124" s="348"/>
      <c r="H124" s="343" t="s">
        <v>1906</v>
      </c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52" t="s">
        <v>2015</v>
      </c>
      <c r="AA124" s="352"/>
      <c r="AB124" s="352"/>
      <c r="AC124" s="352"/>
      <c r="AD124" s="352"/>
      <c r="AE124" s="352"/>
      <c r="AF124" s="352" t="s">
        <v>2015</v>
      </c>
      <c r="AG124" s="352"/>
      <c r="AH124" s="352"/>
      <c r="AI124" s="352"/>
      <c r="AJ124" s="352" t="s">
        <v>133</v>
      </c>
      <c r="AK124" s="352"/>
      <c r="AL124" s="352"/>
      <c r="AM124" s="352"/>
      <c r="AN124" s="352"/>
      <c r="AO124" s="352"/>
      <c r="AP124" s="403" t="s">
        <v>134</v>
      </c>
      <c r="AQ124" s="403"/>
      <c r="AR124" s="403" t="s">
        <v>134</v>
      </c>
      <c r="AS124" s="403"/>
    </row>
    <row r="125" spans="1:45" ht="10.5" customHeight="1">
      <c r="A125" s="343" t="s">
        <v>2367</v>
      </c>
      <c r="B125" s="343"/>
      <c r="C125" s="343"/>
      <c r="D125" s="343"/>
      <c r="E125" s="348" t="s">
        <v>1930</v>
      </c>
      <c r="F125" s="348"/>
      <c r="G125" s="348"/>
      <c r="H125" s="343" t="s">
        <v>1931</v>
      </c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52" t="s">
        <v>135</v>
      </c>
      <c r="AA125" s="352"/>
      <c r="AB125" s="352"/>
      <c r="AC125" s="352"/>
      <c r="AD125" s="352"/>
      <c r="AE125" s="352"/>
      <c r="AF125" s="352" t="s">
        <v>123</v>
      </c>
      <c r="AG125" s="352"/>
      <c r="AH125" s="352"/>
      <c r="AI125" s="352"/>
      <c r="AJ125" s="352" t="s">
        <v>136</v>
      </c>
      <c r="AK125" s="352"/>
      <c r="AL125" s="352"/>
      <c r="AM125" s="352"/>
      <c r="AN125" s="352"/>
      <c r="AO125" s="352"/>
      <c r="AP125" s="403" t="s">
        <v>137</v>
      </c>
      <c r="AQ125" s="403"/>
      <c r="AR125" s="403" t="s">
        <v>138</v>
      </c>
      <c r="AS125" s="403"/>
    </row>
    <row r="126" spans="1:45" ht="10.5" customHeight="1">
      <c r="A126" s="343" t="s">
        <v>2367</v>
      </c>
      <c r="B126" s="343"/>
      <c r="C126" s="343"/>
      <c r="D126" s="343"/>
      <c r="E126" s="348" t="s">
        <v>1940</v>
      </c>
      <c r="F126" s="348"/>
      <c r="G126" s="348"/>
      <c r="H126" s="343" t="s">
        <v>1941</v>
      </c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52" t="s">
        <v>139</v>
      </c>
      <c r="AA126" s="352"/>
      <c r="AB126" s="352"/>
      <c r="AC126" s="352"/>
      <c r="AD126" s="352"/>
      <c r="AE126" s="352"/>
      <c r="AF126" s="352" t="s">
        <v>139</v>
      </c>
      <c r="AG126" s="352"/>
      <c r="AH126" s="352"/>
      <c r="AI126" s="352"/>
      <c r="AJ126" s="352" t="s">
        <v>140</v>
      </c>
      <c r="AK126" s="352"/>
      <c r="AL126" s="352"/>
      <c r="AM126" s="352"/>
      <c r="AN126" s="352"/>
      <c r="AO126" s="352"/>
      <c r="AP126" s="403" t="s">
        <v>141</v>
      </c>
      <c r="AQ126" s="403"/>
      <c r="AR126" s="403" t="s">
        <v>141</v>
      </c>
      <c r="AS126" s="403"/>
    </row>
    <row r="127" spans="1:45" ht="10.5" customHeight="1">
      <c r="A127" s="343" t="s">
        <v>2367</v>
      </c>
      <c r="B127" s="343"/>
      <c r="C127" s="343"/>
      <c r="D127" s="343"/>
      <c r="E127" s="348" t="s">
        <v>2039</v>
      </c>
      <c r="F127" s="348"/>
      <c r="G127" s="348"/>
      <c r="H127" s="343" t="s">
        <v>2040</v>
      </c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52"/>
      <c r="AA127" s="352"/>
      <c r="AB127" s="352"/>
      <c r="AC127" s="352"/>
      <c r="AD127" s="352"/>
      <c r="AE127" s="352"/>
      <c r="AF127" s="352" t="s">
        <v>142</v>
      </c>
      <c r="AG127" s="352"/>
      <c r="AH127" s="352"/>
      <c r="AI127" s="352"/>
      <c r="AJ127" s="352" t="s">
        <v>143</v>
      </c>
      <c r="AK127" s="352"/>
      <c r="AL127" s="352"/>
      <c r="AM127" s="352"/>
      <c r="AN127" s="352"/>
      <c r="AO127" s="352"/>
      <c r="AP127" s="403" t="s">
        <v>2345</v>
      </c>
      <c r="AQ127" s="403"/>
      <c r="AR127" s="403" t="s">
        <v>144</v>
      </c>
      <c r="AS127" s="403"/>
    </row>
    <row r="128" spans="1:45" ht="13.5" thickBot="1">
      <c r="A128" s="404" t="s">
        <v>2367</v>
      </c>
      <c r="B128" s="404"/>
      <c r="C128" s="404"/>
      <c r="D128" s="404"/>
      <c r="E128" s="404" t="s">
        <v>2373</v>
      </c>
      <c r="F128" s="404"/>
      <c r="G128" s="404"/>
      <c r="H128" s="404"/>
      <c r="I128" s="404"/>
      <c r="J128" s="404"/>
      <c r="K128" s="404"/>
      <c r="L128" s="404"/>
      <c r="M128" s="404"/>
      <c r="N128" s="404"/>
      <c r="O128" s="404"/>
      <c r="P128" s="404"/>
      <c r="Q128" s="404"/>
      <c r="R128" s="404"/>
      <c r="S128" s="404"/>
      <c r="T128" s="404"/>
      <c r="U128" s="404"/>
      <c r="V128" s="404"/>
      <c r="W128" s="404"/>
      <c r="X128" s="404"/>
      <c r="Y128" s="404"/>
      <c r="Z128" s="405" t="s">
        <v>145</v>
      </c>
      <c r="AA128" s="405"/>
      <c r="AB128" s="405"/>
      <c r="AC128" s="405"/>
      <c r="AD128" s="405"/>
      <c r="AE128" s="405"/>
      <c r="AF128" s="405" t="s">
        <v>146</v>
      </c>
      <c r="AG128" s="405"/>
      <c r="AH128" s="405"/>
      <c r="AI128" s="405"/>
      <c r="AJ128" s="405" t="s">
        <v>147</v>
      </c>
      <c r="AK128" s="405"/>
      <c r="AL128" s="405"/>
      <c r="AM128" s="405"/>
      <c r="AN128" s="405"/>
      <c r="AO128" s="405"/>
      <c r="AP128" s="406" t="s">
        <v>148</v>
      </c>
      <c r="AQ128" s="406"/>
      <c r="AR128" s="406" t="s">
        <v>149</v>
      </c>
      <c r="AS128" s="406"/>
    </row>
    <row r="129" spans="1:45" ht="10.5" customHeight="1">
      <c r="A129" s="354" t="s">
        <v>2374</v>
      </c>
      <c r="B129" s="354"/>
      <c r="C129" s="354"/>
      <c r="D129" s="354"/>
      <c r="E129" s="407" t="s">
        <v>1804</v>
      </c>
      <c r="F129" s="407"/>
      <c r="G129" s="407"/>
      <c r="H129" s="354" t="s">
        <v>1805</v>
      </c>
      <c r="I129" s="354"/>
      <c r="J129" s="354"/>
      <c r="K129" s="354"/>
      <c r="L129" s="354"/>
      <c r="M129" s="354"/>
      <c r="N129" s="354"/>
      <c r="O129" s="354"/>
      <c r="P129" s="354"/>
      <c r="Q129" s="354"/>
      <c r="R129" s="354"/>
      <c r="S129" s="354"/>
      <c r="T129" s="354"/>
      <c r="U129" s="354"/>
      <c r="V129" s="354"/>
      <c r="W129" s="354"/>
      <c r="X129" s="354"/>
      <c r="Y129" s="354"/>
      <c r="Z129" s="355" t="s">
        <v>150</v>
      </c>
      <c r="AA129" s="355"/>
      <c r="AB129" s="355"/>
      <c r="AC129" s="355"/>
      <c r="AD129" s="355"/>
      <c r="AE129" s="355"/>
      <c r="AF129" s="355" t="s">
        <v>1913</v>
      </c>
      <c r="AG129" s="355"/>
      <c r="AH129" s="355"/>
      <c r="AI129" s="355"/>
      <c r="AJ129" s="355" t="s">
        <v>151</v>
      </c>
      <c r="AK129" s="355"/>
      <c r="AL129" s="355"/>
      <c r="AM129" s="355"/>
      <c r="AN129" s="355"/>
      <c r="AO129" s="355"/>
      <c r="AP129" s="408" t="s">
        <v>152</v>
      </c>
      <c r="AQ129" s="408"/>
      <c r="AR129" s="408" t="s">
        <v>153</v>
      </c>
      <c r="AS129" s="408"/>
    </row>
    <row r="130" spans="1:45" ht="10.5" customHeight="1">
      <c r="A130" s="343" t="s">
        <v>2374</v>
      </c>
      <c r="B130" s="343"/>
      <c r="C130" s="343"/>
      <c r="D130" s="343"/>
      <c r="E130" s="348" t="s">
        <v>1811</v>
      </c>
      <c r="F130" s="348"/>
      <c r="G130" s="348"/>
      <c r="H130" s="343" t="s">
        <v>1812</v>
      </c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52" t="s">
        <v>105</v>
      </c>
      <c r="AA130" s="352"/>
      <c r="AB130" s="352"/>
      <c r="AC130" s="352"/>
      <c r="AD130" s="352"/>
      <c r="AE130" s="352"/>
      <c r="AF130" s="352" t="s">
        <v>154</v>
      </c>
      <c r="AG130" s="352"/>
      <c r="AH130" s="352"/>
      <c r="AI130" s="352"/>
      <c r="AJ130" s="352" t="s">
        <v>155</v>
      </c>
      <c r="AK130" s="352"/>
      <c r="AL130" s="352"/>
      <c r="AM130" s="352"/>
      <c r="AN130" s="352"/>
      <c r="AO130" s="352"/>
      <c r="AP130" s="403" t="s">
        <v>156</v>
      </c>
      <c r="AQ130" s="403"/>
      <c r="AR130" s="403" t="s">
        <v>157</v>
      </c>
      <c r="AS130" s="403"/>
    </row>
    <row r="131" spans="1:45" ht="10.5" customHeight="1">
      <c r="A131" s="343" t="s">
        <v>2374</v>
      </c>
      <c r="B131" s="343"/>
      <c r="C131" s="343"/>
      <c r="D131" s="343"/>
      <c r="E131" s="348" t="s">
        <v>1825</v>
      </c>
      <c r="F131" s="348"/>
      <c r="G131" s="348"/>
      <c r="H131" s="343" t="s">
        <v>2299</v>
      </c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52" t="s">
        <v>158</v>
      </c>
      <c r="AA131" s="352"/>
      <c r="AB131" s="352"/>
      <c r="AC131" s="352"/>
      <c r="AD131" s="352"/>
      <c r="AE131" s="352"/>
      <c r="AF131" s="352" t="s">
        <v>159</v>
      </c>
      <c r="AG131" s="352"/>
      <c r="AH131" s="352"/>
      <c r="AI131" s="352"/>
      <c r="AJ131" s="352" t="s">
        <v>160</v>
      </c>
      <c r="AK131" s="352"/>
      <c r="AL131" s="352"/>
      <c r="AM131" s="352"/>
      <c r="AN131" s="352"/>
      <c r="AO131" s="352"/>
      <c r="AP131" s="403" t="s">
        <v>161</v>
      </c>
      <c r="AQ131" s="403"/>
      <c r="AR131" s="403" t="s">
        <v>2365</v>
      </c>
      <c r="AS131" s="403"/>
    </row>
    <row r="132" spans="1:45" ht="10.5" customHeight="1">
      <c r="A132" s="343" t="s">
        <v>2374</v>
      </c>
      <c r="B132" s="343"/>
      <c r="C132" s="343"/>
      <c r="D132" s="343"/>
      <c r="E132" s="348" t="s">
        <v>1830</v>
      </c>
      <c r="F132" s="348"/>
      <c r="G132" s="348"/>
      <c r="H132" s="343" t="s">
        <v>2300</v>
      </c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3"/>
      <c r="Z132" s="352" t="s">
        <v>162</v>
      </c>
      <c r="AA132" s="352"/>
      <c r="AB132" s="352"/>
      <c r="AC132" s="352"/>
      <c r="AD132" s="352"/>
      <c r="AE132" s="352"/>
      <c r="AF132" s="352" t="s">
        <v>163</v>
      </c>
      <c r="AG132" s="352"/>
      <c r="AH132" s="352"/>
      <c r="AI132" s="352"/>
      <c r="AJ132" s="352" t="s">
        <v>164</v>
      </c>
      <c r="AK132" s="352"/>
      <c r="AL132" s="352"/>
      <c r="AM132" s="352"/>
      <c r="AN132" s="352"/>
      <c r="AO132" s="352"/>
      <c r="AP132" s="403" t="s">
        <v>165</v>
      </c>
      <c r="AQ132" s="403"/>
      <c r="AR132" s="403" t="s">
        <v>166</v>
      </c>
      <c r="AS132" s="403"/>
    </row>
    <row r="133" spans="1:45" ht="10.5" customHeight="1">
      <c r="A133" s="343" t="s">
        <v>2374</v>
      </c>
      <c r="B133" s="343"/>
      <c r="C133" s="343"/>
      <c r="D133" s="343"/>
      <c r="E133" s="348" t="s">
        <v>1835</v>
      </c>
      <c r="F133" s="348"/>
      <c r="G133" s="348"/>
      <c r="H133" s="343" t="s">
        <v>1836</v>
      </c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43"/>
      <c r="Z133" s="352" t="s">
        <v>65</v>
      </c>
      <c r="AA133" s="352"/>
      <c r="AB133" s="352"/>
      <c r="AC133" s="352"/>
      <c r="AD133" s="352"/>
      <c r="AE133" s="352"/>
      <c r="AF133" s="352" t="s">
        <v>65</v>
      </c>
      <c r="AG133" s="352"/>
      <c r="AH133" s="352"/>
      <c r="AI133" s="352"/>
      <c r="AJ133" s="352" t="s">
        <v>167</v>
      </c>
      <c r="AK133" s="352"/>
      <c r="AL133" s="352"/>
      <c r="AM133" s="352"/>
      <c r="AN133" s="352"/>
      <c r="AO133" s="352"/>
      <c r="AP133" s="403" t="s">
        <v>168</v>
      </c>
      <c r="AQ133" s="403"/>
      <c r="AR133" s="403" t="s">
        <v>168</v>
      </c>
      <c r="AS133" s="403"/>
    </row>
    <row r="134" spans="1:45" ht="10.5" customHeight="1">
      <c r="A134" s="343" t="s">
        <v>2374</v>
      </c>
      <c r="B134" s="343"/>
      <c r="C134" s="343"/>
      <c r="D134" s="343"/>
      <c r="E134" s="348" t="s">
        <v>1855</v>
      </c>
      <c r="F134" s="348"/>
      <c r="G134" s="348"/>
      <c r="H134" s="343" t="s">
        <v>1856</v>
      </c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52"/>
      <c r="AA134" s="352"/>
      <c r="AB134" s="352"/>
      <c r="AC134" s="352"/>
      <c r="AD134" s="352"/>
      <c r="AE134" s="352"/>
      <c r="AF134" s="352"/>
      <c r="AG134" s="352"/>
      <c r="AH134" s="352"/>
      <c r="AI134" s="352"/>
      <c r="AJ134" s="352" t="s">
        <v>169</v>
      </c>
      <c r="AK134" s="352"/>
      <c r="AL134" s="352"/>
      <c r="AM134" s="352"/>
      <c r="AN134" s="352"/>
      <c r="AO134" s="352"/>
      <c r="AP134" s="403" t="s">
        <v>2345</v>
      </c>
      <c r="AQ134" s="403"/>
      <c r="AR134" s="403" t="s">
        <v>2345</v>
      </c>
      <c r="AS134" s="403"/>
    </row>
    <row r="135" spans="1:45" ht="10.5" customHeight="1">
      <c r="A135" s="343" t="s">
        <v>2374</v>
      </c>
      <c r="B135" s="343"/>
      <c r="C135" s="343"/>
      <c r="D135" s="343"/>
      <c r="E135" s="348" t="s">
        <v>1860</v>
      </c>
      <c r="F135" s="348"/>
      <c r="G135" s="348"/>
      <c r="H135" s="343" t="s">
        <v>1861</v>
      </c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52" t="s">
        <v>2426</v>
      </c>
      <c r="AA135" s="352"/>
      <c r="AB135" s="352"/>
      <c r="AC135" s="352"/>
      <c r="AD135" s="352"/>
      <c r="AE135" s="352"/>
      <c r="AF135" s="352" t="s">
        <v>1878</v>
      </c>
      <c r="AG135" s="352"/>
      <c r="AH135" s="352"/>
      <c r="AI135" s="352"/>
      <c r="AJ135" s="352" t="s">
        <v>170</v>
      </c>
      <c r="AK135" s="352"/>
      <c r="AL135" s="352"/>
      <c r="AM135" s="352"/>
      <c r="AN135" s="352"/>
      <c r="AO135" s="352"/>
      <c r="AP135" s="403" t="s">
        <v>171</v>
      </c>
      <c r="AQ135" s="403"/>
      <c r="AR135" s="403" t="s">
        <v>172</v>
      </c>
      <c r="AS135" s="403"/>
    </row>
    <row r="136" spans="1:45" ht="10.5" customHeight="1">
      <c r="A136" s="343" t="s">
        <v>2374</v>
      </c>
      <c r="B136" s="343"/>
      <c r="C136" s="343"/>
      <c r="D136" s="343"/>
      <c r="E136" s="348" t="s">
        <v>1865</v>
      </c>
      <c r="F136" s="348"/>
      <c r="G136" s="348"/>
      <c r="H136" s="343" t="s">
        <v>2304</v>
      </c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52" t="s">
        <v>173</v>
      </c>
      <c r="AA136" s="352"/>
      <c r="AB136" s="352"/>
      <c r="AC136" s="352"/>
      <c r="AD136" s="352"/>
      <c r="AE136" s="352"/>
      <c r="AF136" s="352" t="s">
        <v>2465</v>
      </c>
      <c r="AG136" s="352"/>
      <c r="AH136" s="352"/>
      <c r="AI136" s="352"/>
      <c r="AJ136" s="352" t="s">
        <v>174</v>
      </c>
      <c r="AK136" s="352"/>
      <c r="AL136" s="352"/>
      <c r="AM136" s="352"/>
      <c r="AN136" s="352"/>
      <c r="AO136" s="352"/>
      <c r="AP136" s="403" t="s">
        <v>175</v>
      </c>
      <c r="AQ136" s="403"/>
      <c r="AR136" s="403" t="s">
        <v>176</v>
      </c>
      <c r="AS136" s="403"/>
    </row>
    <row r="137" spans="1:45" ht="10.5" customHeight="1">
      <c r="A137" s="343" t="s">
        <v>2374</v>
      </c>
      <c r="B137" s="343"/>
      <c r="C137" s="343"/>
      <c r="D137" s="343"/>
      <c r="E137" s="348" t="s">
        <v>1875</v>
      </c>
      <c r="F137" s="348"/>
      <c r="G137" s="348"/>
      <c r="H137" s="343" t="s">
        <v>1876</v>
      </c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52" t="s">
        <v>177</v>
      </c>
      <c r="AA137" s="352"/>
      <c r="AB137" s="352"/>
      <c r="AC137" s="352"/>
      <c r="AD137" s="352"/>
      <c r="AE137" s="352"/>
      <c r="AF137" s="352"/>
      <c r="AG137" s="352"/>
      <c r="AH137" s="352"/>
      <c r="AI137" s="352"/>
      <c r="AJ137" s="368" t="s">
        <v>178</v>
      </c>
      <c r="AK137" s="368"/>
      <c r="AL137" s="368"/>
      <c r="AM137" s="368"/>
      <c r="AN137" s="368"/>
      <c r="AO137" s="368"/>
      <c r="AP137" s="413" t="s">
        <v>179</v>
      </c>
      <c r="AQ137" s="413"/>
      <c r="AR137" s="403" t="s">
        <v>2345</v>
      </c>
      <c r="AS137" s="403"/>
    </row>
    <row r="138" spans="1:45" ht="10.5" customHeight="1">
      <c r="A138" s="343" t="s">
        <v>2374</v>
      </c>
      <c r="B138" s="343"/>
      <c r="C138" s="343"/>
      <c r="D138" s="343"/>
      <c r="E138" s="348" t="s">
        <v>1880</v>
      </c>
      <c r="F138" s="348"/>
      <c r="G138" s="348"/>
      <c r="H138" s="343" t="s">
        <v>1881</v>
      </c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52" t="s">
        <v>180</v>
      </c>
      <c r="AA138" s="352"/>
      <c r="AB138" s="352"/>
      <c r="AC138" s="352"/>
      <c r="AD138" s="352"/>
      <c r="AE138" s="352"/>
      <c r="AF138" s="352" t="s">
        <v>1670</v>
      </c>
      <c r="AG138" s="352"/>
      <c r="AH138" s="352"/>
      <c r="AI138" s="352"/>
      <c r="AJ138" s="352" t="s">
        <v>181</v>
      </c>
      <c r="AK138" s="352"/>
      <c r="AL138" s="352"/>
      <c r="AM138" s="352"/>
      <c r="AN138" s="352"/>
      <c r="AO138" s="352"/>
      <c r="AP138" s="403" t="s">
        <v>182</v>
      </c>
      <c r="AQ138" s="403"/>
      <c r="AR138" s="403" t="s">
        <v>183</v>
      </c>
      <c r="AS138" s="403"/>
    </row>
    <row r="139" spans="1:45" ht="10.5" customHeight="1">
      <c r="A139" s="343" t="s">
        <v>2374</v>
      </c>
      <c r="B139" s="343"/>
      <c r="C139" s="343"/>
      <c r="D139" s="343"/>
      <c r="E139" s="348" t="s">
        <v>1885</v>
      </c>
      <c r="F139" s="348"/>
      <c r="G139" s="348"/>
      <c r="H139" s="343" t="s">
        <v>1886</v>
      </c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52" t="s">
        <v>184</v>
      </c>
      <c r="AA139" s="352"/>
      <c r="AB139" s="352"/>
      <c r="AC139" s="352"/>
      <c r="AD139" s="352"/>
      <c r="AE139" s="352"/>
      <c r="AF139" s="352" t="s">
        <v>1609</v>
      </c>
      <c r="AG139" s="352"/>
      <c r="AH139" s="352"/>
      <c r="AI139" s="352"/>
      <c r="AJ139" s="352" t="s">
        <v>185</v>
      </c>
      <c r="AK139" s="352"/>
      <c r="AL139" s="352"/>
      <c r="AM139" s="352"/>
      <c r="AN139" s="352"/>
      <c r="AO139" s="352"/>
      <c r="AP139" s="403" t="s">
        <v>186</v>
      </c>
      <c r="AQ139" s="403"/>
      <c r="AR139" s="403" t="s">
        <v>176</v>
      </c>
      <c r="AS139" s="403"/>
    </row>
    <row r="140" spans="1:45" ht="10.5" customHeight="1">
      <c r="A140" s="343" t="s">
        <v>2374</v>
      </c>
      <c r="B140" s="343"/>
      <c r="C140" s="343"/>
      <c r="D140" s="343"/>
      <c r="E140" s="348" t="s">
        <v>1905</v>
      </c>
      <c r="F140" s="348"/>
      <c r="G140" s="348"/>
      <c r="H140" s="343" t="s">
        <v>1906</v>
      </c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52" t="s">
        <v>74</v>
      </c>
      <c r="AA140" s="352"/>
      <c r="AB140" s="352"/>
      <c r="AC140" s="352"/>
      <c r="AD140" s="352"/>
      <c r="AE140" s="352"/>
      <c r="AF140" s="352" t="s">
        <v>2026</v>
      </c>
      <c r="AG140" s="352"/>
      <c r="AH140" s="352"/>
      <c r="AI140" s="352"/>
      <c r="AJ140" s="352" t="s">
        <v>187</v>
      </c>
      <c r="AK140" s="352"/>
      <c r="AL140" s="352"/>
      <c r="AM140" s="352"/>
      <c r="AN140" s="352"/>
      <c r="AO140" s="352"/>
      <c r="AP140" s="403" t="s">
        <v>188</v>
      </c>
      <c r="AQ140" s="403"/>
      <c r="AR140" s="403" t="s">
        <v>189</v>
      </c>
      <c r="AS140" s="403"/>
    </row>
    <row r="141" spans="1:45" ht="10.5" customHeight="1">
      <c r="A141" s="343" t="s">
        <v>2374</v>
      </c>
      <c r="B141" s="343"/>
      <c r="C141" s="343"/>
      <c r="D141" s="343"/>
      <c r="E141" s="348" t="s">
        <v>1915</v>
      </c>
      <c r="F141" s="348"/>
      <c r="G141" s="348"/>
      <c r="H141" s="343" t="s">
        <v>1916</v>
      </c>
      <c r="I141" s="343"/>
      <c r="J141" s="343"/>
      <c r="K141" s="343"/>
      <c r="L141" s="343"/>
      <c r="M141" s="343"/>
      <c r="N141" s="343"/>
      <c r="O141" s="343"/>
      <c r="P141" s="343"/>
      <c r="Q141" s="343"/>
      <c r="R141" s="343"/>
      <c r="S141" s="343"/>
      <c r="T141" s="343"/>
      <c r="U141" s="343"/>
      <c r="V141" s="343"/>
      <c r="W141" s="343"/>
      <c r="X141" s="343"/>
      <c r="Y141" s="343"/>
      <c r="Z141" s="352" t="s">
        <v>177</v>
      </c>
      <c r="AA141" s="352"/>
      <c r="AB141" s="352"/>
      <c r="AC141" s="352"/>
      <c r="AD141" s="352"/>
      <c r="AE141" s="352"/>
      <c r="AF141" s="352" t="s">
        <v>190</v>
      </c>
      <c r="AG141" s="352"/>
      <c r="AH141" s="352"/>
      <c r="AI141" s="352"/>
      <c r="AJ141" s="352" t="s">
        <v>191</v>
      </c>
      <c r="AK141" s="352"/>
      <c r="AL141" s="352"/>
      <c r="AM141" s="352"/>
      <c r="AN141" s="352"/>
      <c r="AO141" s="352"/>
      <c r="AP141" s="403" t="s">
        <v>192</v>
      </c>
      <c r="AQ141" s="403"/>
      <c r="AR141" s="403" t="s">
        <v>193</v>
      </c>
      <c r="AS141" s="403"/>
    </row>
    <row r="142" spans="1:45" ht="10.5" customHeight="1">
      <c r="A142" s="343" t="s">
        <v>2374</v>
      </c>
      <c r="B142" s="343"/>
      <c r="C142" s="343"/>
      <c r="D142" s="343"/>
      <c r="E142" s="348" t="s">
        <v>1925</v>
      </c>
      <c r="F142" s="348"/>
      <c r="G142" s="348"/>
      <c r="H142" s="343" t="s">
        <v>1926</v>
      </c>
      <c r="I142" s="343"/>
      <c r="J142" s="343"/>
      <c r="K142" s="343"/>
      <c r="L142" s="343"/>
      <c r="M142" s="343"/>
      <c r="N142" s="343"/>
      <c r="O142" s="343"/>
      <c r="P142" s="343"/>
      <c r="Q142" s="343"/>
      <c r="R142" s="343"/>
      <c r="S142" s="343"/>
      <c r="T142" s="343"/>
      <c r="U142" s="343"/>
      <c r="V142" s="343"/>
      <c r="W142" s="343"/>
      <c r="X142" s="343"/>
      <c r="Y142" s="343"/>
      <c r="Z142" s="352"/>
      <c r="AA142" s="352"/>
      <c r="AB142" s="352"/>
      <c r="AC142" s="352"/>
      <c r="AD142" s="352"/>
      <c r="AE142" s="352"/>
      <c r="AF142" s="352" t="s">
        <v>65</v>
      </c>
      <c r="AG142" s="352"/>
      <c r="AH142" s="352"/>
      <c r="AI142" s="352"/>
      <c r="AJ142" s="352" t="s">
        <v>194</v>
      </c>
      <c r="AK142" s="352"/>
      <c r="AL142" s="352"/>
      <c r="AM142" s="352"/>
      <c r="AN142" s="352"/>
      <c r="AO142" s="352"/>
      <c r="AP142" s="403" t="s">
        <v>2345</v>
      </c>
      <c r="AQ142" s="403"/>
      <c r="AR142" s="403" t="s">
        <v>195</v>
      </c>
      <c r="AS142" s="403"/>
    </row>
    <row r="143" spans="1:45" ht="10.5" customHeight="1">
      <c r="A143" s="343" t="s">
        <v>2374</v>
      </c>
      <c r="B143" s="343"/>
      <c r="C143" s="343"/>
      <c r="D143" s="343"/>
      <c r="E143" s="348" t="s">
        <v>1930</v>
      </c>
      <c r="F143" s="348"/>
      <c r="G143" s="348"/>
      <c r="H143" s="343" t="s">
        <v>1931</v>
      </c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52" t="s">
        <v>196</v>
      </c>
      <c r="AA143" s="352"/>
      <c r="AB143" s="352"/>
      <c r="AC143" s="352"/>
      <c r="AD143" s="352"/>
      <c r="AE143" s="352"/>
      <c r="AF143" s="352" t="s">
        <v>197</v>
      </c>
      <c r="AG143" s="352"/>
      <c r="AH143" s="352"/>
      <c r="AI143" s="352"/>
      <c r="AJ143" s="352" t="s">
        <v>198</v>
      </c>
      <c r="AK143" s="352"/>
      <c r="AL143" s="352"/>
      <c r="AM143" s="352"/>
      <c r="AN143" s="352"/>
      <c r="AO143" s="352"/>
      <c r="AP143" s="403" t="s">
        <v>199</v>
      </c>
      <c r="AQ143" s="403"/>
      <c r="AR143" s="403" t="s">
        <v>200</v>
      </c>
      <c r="AS143" s="403"/>
    </row>
    <row r="144" spans="1:45" ht="10.5" customHeight="1">
      <c r="A144" s="343" t="s">
        <v>2374</v>
      </c>
      <c r="B144" s="343"/>
      <c r="C144" s="343"/>
      <c r="D144" s="343"/>
      <c r="E144" s="348" t="s">
        <v>1940</v>
      </c>
      <c r="F144" s="348"/>
      <c r="G144" s="348"/>
      <c r="H144" s="343" t="s">
        <v>1941</v>
      </c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52" t="s">
        <v>2447</v>
      </c>
      <c r="AA144" s="352"/>
      <c r="AB144" s="352"/>
      <c r="AC144" s="352"/>
      <c r="AD144" s="352"/>
      <c r="AE144" s="352"/>
      <c r="AF144" s="352" t="s">
        <v>201</v>
      </c>
      <c r="AG144" s="352"/>
      <c r="AH144" s="352"/>
      <c r="AI144" s="352"/>
      <c r="AJ144" s="352" t="s">
        <v>202</v>
      </c>
      <c r="AK144" s="352"/>
      <c r="AL144" s="352"/>
      <c r="AM144" s="352"/>
      <c r="AN144" s="352"/>
      <c r="AO144" s="352"/>
      <c r="AP144" s="403" t="s">
        <v>203</v>
      </c>
      <c r="AQ144" s="403"/>
      <c r="AR144" s="403" t="s">
        <v>204</v>
      </c>
      <c r="AS144" s="403"/>
    </row>
    <row r="145" spans="1:45" ht="10.5" customHeight="1">
      <c r="A145" s="343" t="s">
        <v>2374</v>
      </c>
      <c r="B145" s="343"/>
      <c r="C145" s="343"/>
      <c r="D145" s="343"/>
      <c r="E145" s="348" t="s">
        <v>1955</v>
      </c>
      <c r="F145" s="348"/>
      <c r="G145" s="348"/>
      <c r="H145" s="343" t="s">
        <v>1956</v>
      </c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52"/>
      <c r="AA145" s="352"/>
      <c r="AB145" s="352"/>
      <c r="AC145" s="352"/>
      <c r="AD145" s="352"/>
      <c r="AE145" s="352"/>
      <c r="AF145" s="352"/>
      <c r="AG145" s="352"/>
      <c r="AH145" s="352"/>
      <c r="AI145" s="352"/>
      <c r="AJ145" s="352" t="s">
        <v>205</v>
      </c>
      <c r="AK145" s="352"/>
      <c r="AL145" s="352"/>
      <c r="AM145" s="352"/>
      <c r="AN145" s="352"/>
      <c r="AO145" s="352"/>
      <c r="AP145" s="403" t="s">
        <v>2345</v>
      </c>
      <c r="AQ145" s="403"/>
      <c r="AR145" s="403" t="s">
        <v>2345</v>
      </c>
      <c r="AS145" s="403"/>
    </row>
    <row r="146" spans="1:45" ht="10.5" customHeight="1">
      <c r="A146" s="343" t="s">
        <v>2374</v>
      </c>
      <c r="B146" s="343"/>
      <c r="C146" s="343"/>
      <c r="D146" s="343"/>
      <c r="E146" s="348" t="s">
        <v>2039</v>
      </c>
      <c r="F146" s="348"/>
      <c r="G146" s="348"/>
      <c r="H146" s="343" t="s">
        <v>2040</v>
      </c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52"/>
      <c r="AA146" s="352"/>
      <c r="AB146" s="352"/>
      <c r="AC146" s="352"/>
      <c r="AD146" s="352"/>
      <c r="AE146" s="352"/>
      <c r="AF146" s="352" t="s">
        <v>206</v>
      </c>
      <c r="AG146" s="352"/>
      <c r="AH146" s="352"/>
      <c r="AI146" s="352"/>
      <c r="AJ146" s="352" t="s">
        <v>207</v>
      </c>
      <c r="AK146" s="352"/>
      <c r="AL146" s="352"/>
      <c r="AM146" s="352"/>
      <c r="AN146" s="352"/>
      <c r="AO146" s="352"/>
      <c r="AP146" s="403" t="s">
        <v>2345</v>
      </c>
      <c r="AQ146" s="403"/>
      <c r="AR146" s="403" t="s">
        <v>109</v>
      </c>
      <c r="AS146" s="403"/>
    </row>
    <row r="147" spans="1:45" ht="10.5" customHeight="1">
      <c r="A147" s="343" t="s">
        <v>2374</v>
      </c>
      <c r="B147" s="343"/>
      <c r="C147" s="343"/>
      <c r="D147" s="343"/>
      <c r="E147" s="348" t="s">
        <v>2057</v>
      </c>
      <c r="F147" s="348"/>
      <c r="G147" s="348"/>
      <c r="H147" s="343" t="s">
        <v>2058</v>
      </c>
      <c r="I147" s="343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43"/>
      <c r="U147" s="343"/>
      <c r="V147" s="343"/>
      <c r="W147" s="343"/>
      <c r="X147" s="343"/>
      <c r="Y147" s="343"/>
      <c r="Z147" s="352"/>
      <c r="AA147" s="352"/>
      <c r="AB147" s="352"/>
      <c r="AC147" s="352"/>
      <c r="AD147" s="352"/>
      <c r="AE147" s="352"/>
      <c r="AF147" s="352" t="s">
        <v>1713</v>
      </c>
      <c r="AG147" s="352"/>
      <c r="AH147" s="352"/>
      <c r="AI147" s="352"/>
      <c r="AJ147" s="352"/>
      <c r="AK147" s="352"/>
      <c r="AL147" s="352"/>
      <c r="AM147" s="352"/>
      <c r="AN147" s="352"/>
      <c r="AO147" s="352"/>
      <c r="AP147" s="403" t="s">
        <v>2345</v>
      </c>
      <c r="AQ147" s="403"/>
      <c r="AR147" s="403"/>
      <c r="AS147" s="403"/>
    </row>
    <row r="148" spans="1:45" ht="10.5" customHeight="1">
      <c r="A148" s="343" t="s">
        <v>2374</v>
      </c>
      <c r="B148" s="343"/>
      <c r="C148" s="343"/>
      <c r="D148" s="343"/>
      <c r="E148" s="348" t="s">
        <v>2075</v>
      </c>
      <c r="F148" s="348"/>
      <c r="G148" s="348"/>
      <c r="H148" s="343" t="s">
        <v>2076</v>
      </c>
      <c r="I148" s="343"/>
      <c r="J148" s="343"/>
      <c r="K148" s="343"/>
      <c r="L148" s="343"/>
      <c r="M148" s="343"/>
      <c r="N148" s="343"/>
      <c r="O148" s="343"/>
      <c r="P148" s="343"/>
      <c r="Q148" s="343"/>
      <c r="R148" s="343"/>
      <c r="S148" s="343"/>
      <c r="T148" s="343"/>
      <c r="U148" s="343"/>
      <c r="V148" s="343"/>
      <c r="W148" s="343"/>
      <c r="X148" s="343"/>
      <c r="Y148" s="343"/>
      <c r="Z148" s="352" t="s">
        <v>208</v>
      </c>
      <c r="AA148" s="352"/>
      <c r="AB148" s="352"/>
      <c r="AC148" s="352"/>
      <c r="AD148" s="352"/>
      <c r="AE148" s="352"/>
      <c r="AF148" s="352" t="s">
        <v>209</v>
      </c>
      <c r="AG148" s="352"/>
      <c r="AH148" s="352"/>
      <c r="AI148" s="352"/>
      <c r="AJ148" s="352" t="s">
        <v>210</v>
      </c>
      <c r="AK148" s="352"/>
      <c r="AL148" s="352"/>
      <c r="AM148" s="352"/>
      <c r="AN148" s="352"/>
      <c r="AO148" s="352"/>
      <c r="AP148" s="403" t="s">
        <v>2345</v>
      </c>
      <c r="AQ148" s="403"/>
      <c r="AR148" s="403" t="s">
        <v>211</v>
      </c>
      <c r="AS148" s="403"/>
    </row>
    <row r="149" spans="1:45" ht="13.5" thickBot="1">
      <c r="A149" s="404" t="s">
        <v>2374</v>
      </c>
      <c r="B149" s="404"/>
      <c r="C149" s="404"/>
      <c r="D149" s="404"/>
      <c r="E149" s="404" t="s">
        <v>2377</v>
      </c>
      <c r="F149" s="404"/>
      <c r="G149" s="404"/>
      <c r="H149" s="404"/>
      <c r="I149" s="404"/>
      <c r="J149" s="404"/>
      <c r="K149" s="404"/>
      <c r="L149" s="404"/>
      <c r="M149" s="404"/>
      <c r="N149" s="404"/>
      <c r="O149" s="404"/>
      <c r="P149" s="404"/>
      <c r="Q149" s="404"/>
      <c r="R149" s="404"/>
      <c r="S149" s="404"/>
      <c r="T149" s="404"/>
      <c r="U149" s="404"/>
      <c r="V149" s="404"/>
      <c r="W149" s="404"/>
      <c r="X149" s="404"/>
      <c r="Y149" s="404"/>
      <c r="Z149" s="405" t="s">
        <v>212</v>
      </c>
      <c r="AA149" s="405"/>
      <c r="AB149" s="405"/>
      <c r="AC149" s="405"/>
      <c r="AD149" s="405"/>
      <c r="AE149" s="405"/>
      <c r="AF149" s="405" t="s">
        <v>213</v>
      </c>
      <c r="AG149" s="405"/>
      <c r="AH149" s="405"/>
      <c r="AI149" s="405"/>
      <c r="AJ149" s="405" t="s">
        <v>214</v>
      </c>
      <c r="AK149" s="405"/>
      <c r="AL149" s="405"/>
      <c r="AM149" s="405"/>
      <c r="AN149" s="405"/>
      <c r="AO149" s="405"/>
      <c r="AP149" s="406" t="s">
        <v>215</v>
      </c>
      <c r="AQ149" s="406"/>
      <c r="AR149" s="406" t="s">
        <v>216</v>
      </c>
      <c r="AS149" s="406"/>
    </row>
    <row r="150" spans="1:45" ht="10.5" customHeight="1">
      <c r="A150" s="354" t="s">
        <v>217</v>
      </c>
      <c r="B150" s="354"/>
      <c r="C150" s="354"/>
      <c r="D150" s="354"/>
      <c r="E150" s="407" t="s">
        <v>1940</v>
      </c>
      <c r="F150" s="407"/>
      <c r="G150" s="407"/>
      <c r="H150" s="354" t="s">
        <v>1941</v>
      </c>
      <c r="I150" s="354"/>
      <c r="J150" s="354"/>
      <c r="K150" s="354"/>
      <c r="L150" s="354"/>
      <c r="M150" s="354"/>
      <c r="N150" s="354"/>
      <c r="O150" s="354"/>
      <c r="P150" s="354"/>
      <c r="Q150" s="354"/>
      <c r="R150" s="354"/>
      <c r="S150" s="354"/>
      <c r="T150" s="354"/>
      <c r="U150" s="354"/>
      <c r="V150" s="354"/>
      <c r="W150" s="354"/>
      <c r="X150" s="354"/>
      <c r="Y150" s="354"/>
      <c r="Z150" s="355"/>
      <c r="AA150" s="355"/>
      <c r="AB150" s="355"/>
      <c r="AC150" s="355"/>
      <c r="AD150" s="355"/>
      <c r="AE150" s="355"/>
      <c r="AF150" s="355" t="s">
        <v>1953</v>
      </c>
      <c r="AG150" s="355"/>
      <c r="AH150" s="355"/>
      <c r="AI150" s="355"/>
      <c r="AJ150" s="355" t="s">
        <v>218</v>
      </c>
      <c r="AK150" s="355"/>
      <c r="AL150" s="355"/>
      <c r="AM150" s="355"/>
      <c r="AN150" s="355"/>
      <c r="AO150" s="355"/>
      <c r="AP150" s="408" t="s">
        <v>2345</v>
      </c>
      <c r="AQ150" s="408"/>
      <c r="AR150" s="408" t="s">
        <v>219</v>
      </c>
      <c r="AS150" s="408"/>
    </row>
    <row r="151" spans="1:45" ht="13.5" thickBot="1">
      <c r="A151" s="404" t="s">
        <v>217</v>
      </c>
      <c r="B151" s="404"/>
      <c r="C151" s="404"/>
      <c r="D151" s="404"/>
      <c r="E151" s="404" t="s">
        <v>220</v>
      </c>
      <c r="F151" s="404"/>
      <c r="G151" s="404"/>
      <c r="H151" s="404"/>
      <c r="I151" s="404"/>
      <c r="J151" s="404"/>
      <c r="K151" s="404"/>
      <c r="L151" s="404"/>
      <c r="M151" s="404"/>
      <c r="N151" s="404"/>
      <c r="O151" s="404"/>
      <c r="P151" s="404"/>
      <c r="Q151" s="404"/>
      <c r="R151" s="404"/>
      <c r="S151" s="404"/>
      <c r="T151" s="404"/>
      <c r="U151" s="404"/>
      <c r="V151" s="404"/>
      <c r="W151" s="404"/>
      <c r="X151" s="404"/>
      <c r="Y151" s="404"/>
      <c r="Z151" s="405"/>
      <c r="AA151" s="405"/>
      <c r="AB151" s="405"/>
      <c r="AC151" s="405"/>
      <c r="AD151" s="405"/>
      <c r="AE151" s="405"/>
      <c r="AF151" s="405" t="s">
        <v>1953</v>
      </c>
      <c r="AG151" s="405"/>
      <c r="AH151" s="405"/>
      <c r="AI151" s="405"/>
      <c r="AJ151" s="405" t="s">
        <v>218</v>
      </c>
      <c r="AK151" s="405"/>
      <c r="AL151" s="405"/>
      <c r="AM151" s="405"/>
      <c r="AN151" s="405"/>
      <c r="AO151" s="405"/>
      <c r="AP151" s="406" t="s">
        <v>2345</v>
      </c>
      <c r="AQ151" s="406"/>
      <c r="AR151" s="406" t="s">
        <v>219</v>
      </c>
      <c r="AS151" s="406"/>
    </row>
    <row r="152" spans="1:45" ht="10.5" customHeight="1">
      <c r="A152" s="354" t="s">
        <v>221</v>
      </c>
      <c r="B152" s="354"/>
      <c r="C152" s="354"/>
      <c r="D152" s="354"/>
      <c r="E152" s="407" t="s">
        <v>2057</v>
      </c>
      <c r="F152" s="407"/>
      <c r="G152" s="407"/>
      <c r="H152" s="354" t="s">
        <v>2058</v>
      </c>
      <c r="I152" s="354"/>
      <c r="J152" s="354"/>
      <c r="K152" s="354"/>
      <c r="L152" s="354"/>
      <c r="M152" s="354"/>
      <c r="N152" s="354"/>
      <c r="O152" s="354"/>
      <c r="P152" s="354"/>
      <c r="Q152" s="354"/>
      <c r="R152" s="354"/>
      <c r="S152" s="354"/>
      <c r="T152" s="354"/>
      <c r="U152" s="354"/>
      <c r="V152" s="354"/>
      <c r="W152" s="354"/>
      <c r="X152" s="354"/>
      <c r="Y152" s="354"/>
      <c r="Z152" s="355"/>
      <c r="AA152" s="355"/>
      <c r="AB152" s="355"/>
      <c r="AC152" s="355"/>
      <c r="AD152" s="355"/>
      <c r="AE152" s="355"/>
      <c r="AF152" s="355" t="s">
        <v>222</v>
      </c>
      <c r="AG152" s="355"/>
      <c r="AH152" s="355"/>
      <c r="AI152" s="355"/>
      <c r="AJ152" s="355"/>
      <c r="AK152" s="355"/>
      <c r="AL152" s="355"/>
      <c r="AM152" s="355"/>
      <c r="AN152" s="355"/>
      <c r="AO152" s="355"/>
      <c r="AP152" s="408" t="s">
        <v>2345</v>
      </c>
      <c r="AQ152" s="408"/>
      <c r="AR152" s="408"/>
      <c r="AS152" s="408"/>
    </row>
    <row r="153" spans="1:45" ht="13.5" thickBot="1">
      <c r="A153" s="404" t="s">
        <v>221</v>
      </c>
      <c r="B153" s="404"/>
      <c r="C153" s="404"/>
      <c r="D153" s="404"/>
      <c r="E153" s="404" t="s">
        <v>223</v>
      </c>
      <c r="F153" s="404"/>
      <c r="G153" s="404"/>
      <c r="H153" s="404"/>
      <c r="I153" s="404"/>
      <c r="J153" s="404"/>
      <c r="K153" s="404"/>
      <c r="L153" s="404"/>
      <c r="M153" s="404"/>
      <c r="N153" s="404"/>
      <c r="O153" s="404"/>
      <c r="P153" s="404"/>
      <c r="Q153" s="404"/>
      <c r="R153" s="404"/>
      <c r="S153" s="404"/>
      <c r="T153" s="404"/>
      <c r="U153" s="404"/>
      <c r="V153" s="404"/>
      <c r="W153" s="404"/>
      <c r="X153" s="404"/>
      <c r="Y153" s="404"/>
      <c r="Z153" s="405"/>
      <c r="AA153" s="405"/>
      <c r="AB153" s="405"/>
      <c r="AC153" s="405"/>
      <c r="AD153" s="405"/>
      <c r="AE153" s="405"/>
      <c r="AF153" s="405" t="s">
        <v>222</v>
      </c>
      <c r="AG153" s="405"/>
      <c r="AH153" s="405"/>
      <c r="AI153" s="405"/>
      <c r="AJ153" s="405"/>
      <c r="AK153" s="405"/>
      <c r="AL153" s="405"/>
      <c r="AM153" s="405"/>
      <c r="AN153" s="405"/>
      <c r="AO153" s="405"/>
      <c r="AP153" s="406" t="s">
        <v>2345</v>
      </c>
      <c r="AQ153" s="406"/>
      <c r="AR153" s="406"/>
      <c r="AS153" s="406"/>
    </row>
    <row r="154" spans="1:45" ht="10.5" customHeight="1">
      <c r="A154" s="354" t="s">
        <v>224</v>
      </c>
      <c r="B154" s="354"/>
      <c r="C154" s="354"/>
      <c r="D154" s="354"/>
      <c r="E154" s="407" t="s">
        <v>1865</v>
      </c>
      <c r="F154" s="407"/>
      <c r="G154" s="407"/>
      <c r="H154" s="354" t="s">
        <v>2304</v>
      </c>
      <c r="I154" s="354"/>
      <c r="J154" s="354"/>
      <c r="K154" s="354"/>
      <c r="L154" s="354"/>
      <c r="M154" s="354"/>
      <c r="N154" s="354"/>
      <c r="O154" s="354"/>
      <c r="P154" s="354"/>
      <c r="Q154" s="354"/>
      <c r="R154" s="354"/>
      <c r="S154" s="354"/>
      <c r="T154" s="354"/>
      <c r="U154" s="354"/>
      <c r="V154" s="354"/>
      <c r="W154" s="354"/>
      <c r="X154" s="354"/>
      <c r="Y154" s="354"/>
      <c r="Z154" s="355"/>
      <c r="AA154" s="355"/>
      <c r="AB154" s="355"/>
      <c r="AC154" s="355"/>
      <c r="AD154" s="355"/>
      <c r="AE154" s="355"/>
      <c r="AF154" s="355" t="s">
        <v>225</v>
      </c>
      <c r="AG154" s="355"/>
      <c r="AH154" s="355"/>
      <c r="AI154" s="355"/>
      <c r="AJ154" s="355" t="s">
        <v>226</v>
      </c>
      <c r="AK154" s="355"/>
      <c r="AL154" s="355"/>
      <c r="AM154" s="355"/>
      <c r="AN154" s="355"/>
      <c r="AO154" s="355"/>
      <c r="AP154" s="408" t="s">
        <v>2345</v>
      </c>
      <c r="AQ154" s="408"/>
      <c r="AR154" s="408" t="s">
        <v>227</v>
      </c>
      <c r="AS154" s="408"/>
    </row>
    <row r="155" spans="1:45" ht="10.5" customHeight="1">
      <c r="A155" s="343" t="s">
        <v>224</v>
      </c>
      <c r="B155" s="343"/>
      <c r="C155" s="343"/>
      <c r="D155" s="343"/>
      <c r="E155" s="348" t="s">
        <v>1940</v>
      </c>
      <c r="F155" s="348"/>
      <c r="G155" s="348"/>
      <c r="H155" s="343" t="s">
        <v>1941</v>
      </c>
      <c r="I155" s="343"/>
      <c r="J155" s="343"/>
      <c r="K155" s="343"/>
      <c r="L155" s="343"/>
      <c r="M155" s="343"/>
      <c r="N155" s="343"/>
      <c r="O155" s="343"/>
      <c r="P155" s="343"/>
      <c r="Q155" s="343"/>
      <c r="R155" s="343"/>
      <c r="S155" s="343"/>
      <c r="T155" s="343"/>
      <c r="U155" s="343"/>
      <c r="V155" s="343"/>
      <c r="W155" s="343"/>
      <c r="X155" s="343"/>
      <c r="Y155" s="343"/>
      <c r="Z155" s="352" t="s">
        <v>74</v>
      </c>
      <c r="AA155" s="352"/>
      <c r="AB155" s="352"/>
      <c r="AC155" s="352"/>
      <c r="AD155" s="352"/>
      <c r="AE155" s="352"/>
      <c r="AF155" s="352" t="s">
        <v>228</v>
      </c>
      <c r="AG155" s="352"/>
      <c r="AH155" s="352"/>
      <c r="AI155" s="352"/>
      <c r="AJ155" s="352" t="s">
        <v>229</v>
      </c>
      <c r="AK155" s="352"/>
      <c r="AL155" s="352"/>
      <c r="AM155" s="352"/>
      <c r="AN155" s="352"/>
      <c r="AO155" s="352"/>
      <c r="AP155" s="403" t="s">
        <v>230</v>
      </c>
      <c r="AQ155" s="403"/>
      <c r="AR155" s="403" t="s">
        <v>2023</v>
      </c>
      <c r="AS155" s="403"/>
    </row>
    <row r="156" spans="1:45" ht="10.5" customHeight="1">
      <c r="A156" s="343" t="s">
        <v>224</v>
      </c>
      <c r="B156" s="343"/>
      <c r="C156" s="343"/>
      <c r="D156" s="343"/>
      <c r="E156" s="348" t="s">
        <v>2075</v>
      </c>
      <c r="F156" s="348"/>
      <c r="G156" s="348"/>
      <c r="H156" s="343" t="s">
        <v>2076</v>
      </c>
      <c r="I156" s="343"/>
      <c r="J156" s="343"/>
      <c r="K156" s="343"/>
      <c r="L156" s="343"/>
      <c r="M156" s="343"/>
      <c r="N156" s="343"/>
      <c r="O156" s="343"/>
      <c r="P156" s="343"/>
      <c r="Q156" s="343"/>
      <c r="R156" s="343"/>
      <c r="S156" s="343"/>
      <c r="T156" s="343"/>
      <c r="U156" s="343"/>
      <c r="V156" s="343"/>
      <c r="W156" s="343"/>
      <c r="X156" s="343"/>
      <c r="Y156" s="343"/>
      <c r="Z156" s="352" t="s">
        <v>70</v>
      </c>
      <c r="AA156" s="352"/>
      <c r="AB156" s="352"/>
      <c r="AC156" s="352"/>
      <c r="AD156" s="352"/>
      <c r="AE156" s="352"/>
      <c r="AF156" s="352" t="s">
        <v>231</v>
      </c>
      <c r="AG156" s="352"/>
      <c r="AH156" s="352"/>
      <c r="AI156" s="352"/>
      <c r="AJ156" s="352" t="s">
        <v>232</v>
      </c>
      <c r="AK156" s="352"/>
      <c r="AL156" s="352"/>
      <c r="AM156" s="352"/>
      <c r="AN156" s="352"/>
      <c r="AO156" s="352"/>
      <c r="AP156" s="403" t="s">
        <v>233</v>
      </c>
      <c r="AQ156" s="403"/>
      <c r="AR156" s="403" t="s">
        <v>234</v>
      </c>
      <c r="AS156" s="403"/>
    </row>
    <row r="157" spans="1:45" ht="13.5" thickBot="1">
      <c r="A157" s="404" t="s">
        <v>224</v>
      </c>
      <c r="B157" s="404"/>
      <c r="C157" s="404"/>
      <c r="D157" s="404"/>
      <c r="E157" s="404" t="s">
        <v>235</v>
      </c>
      <c r="F157" s="404"/>
      <c r="G157" s="404"/>
      <c r="H157" s="404"/>
      <c r="I157" s="404"/>
      <c r="J157" s="404"/>
      <c r="K157" s="404"/>
      <c r="L157" s="404"/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04"/>
      <c r="Z157" s="405" t="s">
        <v>1670</v>
      </c>
      <c r="AA157" s="405"/>
      <c r="AB157" s="405"/>
      <c r="AC157" s="405"/>
      <c r="AD157" s="405"/>
      <c r="AE157" s="405"/>
      <c r="AF157" s="405" t="s">
        <v>236</v>
      </c>
      <c r="AG157" s="405"/>
      <c r="AH157" s="405"/>
      <c r="AI157" s="405"/>
      <c r="AJ157" s="405" t="s">
        <v>237</v>
      </c>
      <c r="AK157" s="405"/>
      <c r="AL157" s="405"/>
      <c r="AM157" s="405"/>
      <c r="AN157" s="405"/>
      <c r="AO157" s="405"/>
      <c r="AP157" s="406" t="s">
        <v>238</v>
      </c>
      <c r="AQ157" s="406"/>
      <c r="AR157" s="406" t="s">
        <v>239</v>
      </c>
      <c r="AS157" s="406"/>
    </row>
    <row r="158" spans="1:45" ht="10.5" customHeight="1">
      <c r="A158" s="354" t="s">
        <v>240</v>
      </c>
      <c r="B158" s="354"/>
      <c r="C158" s="354"/>
      <c r="D158" s="354"/>
      <c r="E158" s="407" t="s">
        <v>1930</v>
      </c>
      <c r="F158" s="407"/>
      <c r="G158" s="407"/>
      <c r="H158" s="354" t="s">
        <v>1931</v>
      </c>
      <c r="I158" s="354"/>
      <c r="J158" s="354"/>
      <c r="K158" s="354"/>
      <c r="L158" s="354"/>
      <c r="M158" s="354"/>
      <c r="N158" s="354"/>
      <c r="O158" s="354"/>
      <c r="P158" s="354"/>
      <c r="Q158" s="354"/>
      <c r="R158" s="354"/>
      <c r="S158" s="354"/>
      <c r="T158" s="354"/>
      <c r="U158" s="354"/>
      <c r="V158" s="354"/>
      <c r="W158" s="354"/>
      <c r="X158" s="354"/>
      <c r="Y158" s="354"/>
      <c r="Z158" s="355"/>
      <c r="AA158" s="355"/>
      <c r="AB158" s="355"/>
      <c r="AC158" s="355"/>
      <c r="AD158" s="355"/>
      <c r="AE158" s="355"/>
      <c r="AF158" s="355" t="s">
        <v>190</v>
      </c>
      <c r="AG158" s="355"/>
      <c r="AH158" s="355"/>
      <c r="AI158" s="355"/>
      <c r="AJ158" s="355" t="s">
        <v>241</v>
      </c>
      <c r="AK158" s="355"/>
      <c r="AL158" s="355"/>
      <c r="AM158" s="355"/>
      <c r="AN158" s="355"/>
      <c r="AO158" s="355"/>
      <c r="AP158" s="408" t="s">
        <v>2345</v>
      </c>
      <c r="AQ158" s="408"/>
      <c r="AR158" s="408" t="s">
        <v>242</v>
      </c>
      <c r="AS158" s="408"/>
    </row>
    <row r="159" spans="1:45" ht="13.5" thickBot="1">
      <c r="A159" s="404" t="s">
        <v>240</v>
      </c>
      <c r="B159" s="404"/>
      <c r="C159" s="404"/>
      <c r="D159" s="404"/>
      <c r="E159" s="404" t="s">
        <v>243</v>
      </c>
      <c r="F159" s="404"/>
      <c r="G159" s="404"/>
      <c r="H159" s="404"/>
      <c r="I159" s="404"/>
      <c r="J159" s="404"/>
      <c r="K159" s="404"/>
      <c r="L159" s="404"/>
      <c r="M159" s="404"/>
      <c r="N159" s="404"/>
      <c r="O159" s="404"/>
      <c r="P159" s="404"/>
      <c r="Q159" s="404"/>
      <c r="R159" s="404"/>
      <c r="S159" s="404"/>
      <c r="T159" s="404"/>
      <c r="U159" s="404"/>
      <c r="V159" s="404"/>
      <c r="W159" s="404"/>
      <c r="X159" s="404"/>
      <c r="Y159" s="404"/>
      <c r="Z159" s="405"/>
      <c r="AA159" s="405"/>
      <c r="AB159" s="405"/>
      <c r="AC159" s="405"/>
      <c r="AD159" s="405"/>
      <c r="AE159" s="405"/>
      <c r="AF159" s="405" t="s">
        <v>190</v>
      </c>
      <c r="AG159" s="405"/>
      <c r="AH159" s="405"/>
      <c r="AI159" s="405"/>
      <c r="AJ159" s="405" t="s">
        <v>241</v>
      </c>
      <c r="AK159" s="405"/>
      <c r="AL159" s="405"/>
      <c r="AM159" s="405"/>
      <c r="AN159" s="405"/>
      <c r="AO159" s="405"/>
      <c r="AP159" s="406" t="s">
        <v>2345</v>
      </c>
      <c r="AQ159" s="406"/>
      <c r="AR159" s="406" t="s">
        <v>242</v>
      </c>
      <c r="AS159" s="406"/>
    </row>
    <row r="160" spans="1:45" ht="10.5" customHeight="1">
      <c r="A160" s="354" t="s">
        <v>244</v>
      </c>
      <c r="B160" s="354"/>
      <c r="C160" s="354"/>
      <c r="D160" s="354"/>
      <c r="E160" s="407" t="s">
        <v>1930</v>
      </c>
      <c r="F160" s="407"/>
      <c r="G160" s="407"/>
      <c r="H160" s="354" t="s">
        <v>1931</v>
      </c>
      <c r="I160" s="354"/>
      <c r="J160" s="354"/>
      <c r="K160" s="354"/>
      <c r="L160" s="354"/>
      <c r="M160" s="354"/>
      <c r="N160" s="354"/>
      <c r="O160" s="354"/>
      <c r="P160" s="354"/>
      <c r="Q160" s="354"/>
      <c r="R160" s="354"/>
      <c r="S160" s="354"/>
      <c r="T160" s="354"/>
      <c r="U160" s="354"/>
      <c r="V160" s="354"/>
      <c r="W160" s="354"/>
      <c r="X160" s="354"/>
      <c r="Y160" s="354"/>
      <c r="Z160" s="355"/>
      <c r="AA160" s="355"/>
      <c r="AB160" s="355"/>
      <c r="AC160" s="355"/>
      <c r="AD160" s="355"/>
      <c r="AE160" s="355"/>
      <c r="AF160" s="355" t="s">
        <v>2447</v>
      </c>
      <c r="AG160" s="355"/>
      <c r="AH160" s="355"/>
      <c r="AI160" s="355"/>
      <c r="AJ160" s="355" t="s">
        <v>245</v>
      </c>
      <c r="AK160" s="355"/>
      <c r="AL160" s="355"/>
      <c r="AM160" s="355"/>
      <c r="AN160" s="355"/>
      <c r="AO160" s="355"/>
      <c r="AP160" s="408" t="s">
        <v>2345</v>
      </c>
      <c r="AQ160" s="408"/>
      <c r="AR160" s="408" t="s">
        <v>246</v>
      </c>
      <c r="AS160" s="408"/>
    </row>
    <row r="161" spans="1:45" ht="13.5" thickBot="1">
      <c r="A161" s="404" t="s">
        <v>244</v>
      </c>
      <c r="B161" s="404"/>
      <c r="C161" s="404"/>
      <c r="D161" s="404"/>
      <c r="E161" s="404" t="s">
        <v>247</v>
      </c>
      <c r="F161" s="404"/>
      <c r="G161" s="404"/>
      <c r="H161" s="404"/>
      <c r="I161" s="404"/>
      <c r="J161" s="404"/>
      <c r="K161" s="404"/>
      <c r="L161" s="404"/>
      <c r="M161" s="404"/>
      <c r="N161" s="404"/>
      <c r="O161" s="404"/>
      <c r="P161" s="404"/>
      <c r="Q161" s="404"/>
      <c r="R161" s="404"/>
      <c r="S161" s="404"/>
      <c r="T161" s="404"/>
      <c r="U161" s="404"/>
      <c r="V161" s="404"/>
      <c r="W161" s="404"/>
      <c r="X161" s="404"/>
      <c r="Y161" s="404"/>
      <c r="Z161" s="405"/>
      <c r="AA161" s="405"/>
      <c r="AB161" s="405"/>
      <c r="AC161" s="405"/>
      <c r="AD161" s="405"/>
      <c r="AE161" s="405"/>
      <c r="AF161" s="405" t="s">
        <v>2447</v>
      </c>
      <c r="AG161" s="405"/>
      <c r="AH161" s="405"/>
      <c r="AI161" s="405"/>
      <c r="AJ161" s="405" t="s">
        <v>245</v>
      </c>
      <c r="AK161" s="405"/>
      <c r="AL161" s="405"/>
      <c r="AM161" s="405"/>
      <c r="AN161" s="405"/>
      <c r="AO161" s="405"/>
      <c r="AP161" s="406" t="s">
        <v>2345</v>
      </c>
      <c r="AQ161" s="406"/>
      <c r="AR161" s="406" t="s">
        <v>246</v>
      </c>
      <c r="AS161" s="406"/>
    </row>
    <row r="162" spans="1:45" ht="10.5" customHeight="1">
      <c r="A162" s="354" t="s">
        <v>2378</v>
      </c>
      <c r="B162" s="354"/>
      <c r="C162" s="354"/>
      <c r="D162" s="354"/>
      <c r="E162" s="407" t="s">
        <v>1930</v>
      </c>
      <c r="F162" s="407"/>
      <c r="G162" s="407"/>
      <c r="H162" s="354" t="s">
        <v>1931</v>
      </c>
      <c r="I162" s="354"/>
      <c r="J162" s="354"/>
      <c r="K162" s="354"/>
      <c r="L162" s="354"/>
      <c r="M162" s="354"/>
      <c r="N162" s="354"/>
      <c r="O162" s="354"/>
      <c r="P162" s="354"/>
      <c r="Q162" s="354"/>
      <c r="R162" s="354"/>
      <c r="S162" s="354"/>
      <c r="T162" s="354"/>
      <c r="U162" s="354"/>
      <c r="V162" s="354"/>
      <c r="W162" s="354"/>
      <c r="X162" s="354"/>
      <c r="Y162" s="354"/>
      <c r="Z162" s="355"/>
      <c r="AA162" s="355"/>
      <c r="AB162" s="355"/>
      <c r="AC162" s="355"/>
      <c r="AD162" s="355"/>
      <c r="AE162" s="355"/>
      <c r="AF162" s="355"/>
      <c r="AG162" s="355"/>
      <c r="AH162" s="355"/>
      <c r="AI162" s="355"/>
      <c r="AJ162" s="355" t="s">
        <v>248</v>
      </c>
      <c r="AK162" s="355"/>
      <c r="AL162" s="355"/>
      <c r="AM162" s="355"/>
      <c r="AN162" s="355"/>
      <c r="AO162" s="355"/>
      <c r="AP162" s="408" t="s">
        <v>2345</v>
      </c>
      <c r="AQ162" s="408"/>
      <c r="AR162" s="408" t="s">
        <v>2345</v>
      </c>
      <c r="AS162" s="408"/>
    </row>
    <row r="163" spans="1:45" ht="10.5" customHeight="1">
      <c r="A163" s="343" t="s">
        <v>2378</v>
      </c>
      <c r="B163" s="343"/>
      <c r="C163" s="343"/>
      <c r="D163" s="343"/>
      <c r="E163" s="348" t="s">
        <v>1940</v>
      </c>
      <c r="F163" s="348"/>
      <c r="G163" s="348"/>
      <c r="H163" s="343" t="s">
        <v>1941</v>
      </c>
      <c r="I163" s="343"/>
      <c r="J163" s="343"/>
      <c r="K163" s="343"/>
      <c r="L163" s="343"/>
      <c r="M163" s="343"/>
      <c r="N163" s="343"/>
      <c r="O163" s="343"/>
      <c r="P163" s="343"/>
      <c r="Q163" s="343"/>
      <c r="R163" s="343"/>
      <c r="S163" s="343"/>
      <c r="T163" s="343"/>
      <c r="U163" s="343"/>
      <c r="V163" s="343"/>
      <c r="W163" s="343"/>
      <c r="X163" s="343"/>
      <c r="Y163" s="343"/>
      <c r="Z163" s="352"/>
      <c r="AA163" s="352"/>
      <c r="AB163" s="352"/>
      <c r="AC163" s="352"/>
      <c r="AD163" s="352"/>
      <c r="AE163" s="352"/>
      <c r="AF163" s="352"/>
      <c r="AG163" s="352"/>
      <c r="AH163" s="352"/>
      <c r="AI163" s="352"/>
      <c r="AJ163" s="352" t="s">
        <v>249</v>
      </c>
      <c r="AK163" s="352"/>
      <c r="AL163" s="352"/>
      <c r="AM163" s="352"/>
      <c r="AN163" s="352"/>
      <c r="AO163" s="352"/>
      <c r="AP163" s="403" t="s">
        <v>2345</v>
      </c>
      <c r="AQ163" s="403"/>
      <c r="AR163" s="403" t="s">
        <v>2345</v>
      </c>
      <c r="AS163" s="403"/>
    </row>
    <row r="164" spans="1:45" ht="10.5" customHeight="1">
      <c r="A164" s="343" t="s">
        <v>2378</v>
      </c>
      <c r="B164" s="343"/>
      <c r="C164" s="343"/>
      <c r="D164" s="343"/>
      <c r="E164" s="348" t="s">
        <v>2075</v>
      </c>
      <c r="F164" s="348"/>
      <c r="G164" s="348"/>
      <c r="H164" s="343" t="s">
        <v>2076</v>
      </c>
      <c r="I164" s="343"/>
      <c r="J164" s="343"/>
      <c r="K164" s="343"/>
      <c r="L164" s="343"/>
      <c r="M164" s="343"/>
      <c r="N164" s="343"/>
      <c r="O164" s="343"/>
      <c r="P164" s="343"/>
      <c r="Q164" s="343"/>
      <c r="R164" s="343"/>
      <c r="S164" s="343"/>
      <c r="T164" s="343"/>
      <c r="U164" s="343"/>
      <c r="V164" s="343"/>
      <c r="W164" s="343"/>
      <c r="X164" s="343"/>
      <c r="Y164" s="343"/>
      <c r="Z164" s="352" t="s">
        <v>250</v>
      </c>
      <c r="AA164" s="352"/>
      <c r="AB164" s="352"/>
      <c r="AC164" s="352"/>
      <c r="AD164" s="352"/>
      <c r="AE164" s="352"/>
      <c r="AF164" s="352" t="s">
        <v>251</v>
      </c>
      <c r="AG164" s="352"/>
      <c r="AH164" s="352"/>
      <c r="AI164" s="352"/>
      <c r="AJ164" s="352" t="s">
        <v>252</v>
      </c>
      <c r="AK164" s="352"/>
      <c r="AL164" s="352"/>
      <c r="AM164" s="352"/>
      <c r="AN164" s="352"/>
      <c r="AO164" s="352"/>
      <c r="AP164" s="403" t="s">
        <v>253</v>
      </c>
      <c r="AQ164" s="403"/>
      <c r="AR164" s="403" t="s">
        <v>254</v>
      </c>
      <c r="AS164" s="403"/>
    </row>
    <row r="165" spans="1:45" ht="13.5" thickBot="1">
      <c r="A165" s="404" t="s">
        <v>2378</v>
      </c>
      <c r="B165" s="404"/>
      <c r="C165" s="404"/>
      <c r="D165" s="404"/>
      <c r="E165" s="404" t="s">
        <v>2380</v>
      </c>
      <c r="F165" s="404"/>
      <c r="G165" s="404"/>
      <c r="H165" s="404"/>
      <c r="I165" s="404"/>
      <c r="J165" s="404"/>
      <c r="K165" s="404"/>
      <c r="L165" s="404"/>
      <c r="M165" s="404"/>
      <c r="N165" s="404"/>
      <c r="O165" s="404"/>
      <c r="P165" s="404"/>
      <c r="Q165" s="404"/>
      <c r="R165" s="404"/>
      <c r="S165" s="404"/>
      <c r="T165" s="404"/>
      <c r="U165" s="404"/>
      <c r="V165" s="404"/>
      <c r="W165" s="404"/>
      <c r="X165" s="404"/>
      <c r="Y165" s="404"/>
      <c r="Z165" s="405" t="s">
        <v>250</v>
      </c>
      <c r="AA165" s="405"/>
      <c r="AB165" s="405"/>
      <c r="AC165" s="405"/>
      <c r="AD165" s="405"/>
      <c r="AE165" s="405"/>
      <c r="AF165" s="405" t="s">
        <v>251</v>
      </c>
      <c r="AG165" s="405"/>
      <c r="AH165" s="405"/>
      <c r="AI165" s="405"/>
      <c r="AJ165" s="405" t="s">
        <v>255</v>
      </c>
      <c r="AK165" s="405"/>
      <c r="AL165" s="405"/>
      <c r="AM165" s="405"/>
      <c r="AN165" s="405"/>
      <c r="AO165" s="405"/>
      <c r="AP165" s="406" t="s">
        <v>256</v>
      </c>
      <c r="AQ165" s="406"/>
      <c r="AR165" s="406" t="s">
        <v>257</v>
      </c>
      <c r="AS165" s="406"/>
    </row>
    <row r="166" spans="1:45" ht="9" customHeight="1">
      <c r="A166" s="350" t="s">
        <v>2330</v>
      </c>
      <c r="B166" s="350"/>
      <c r="C166" s="350"/>
      <c r="D166" s="350"/>
      <c r="E166" s="350" t="s">
        <v>2287</v>
      </c>
      <c r="F166" s="350"/>
      <c r="G166" s="350"/>
      <c r="H166" s="350" t="s">
        <v>1574</v>
      </c>
      <c r="I166" s="350"/>
      <c r="J166" s="350"/>
      <c r="K166" s="350"/>
      <c r="L166" s="350"/>
      <c r="M166" s="350"/>
      <c r="N166" s="350"/>
      <c r="O166" s="350"/>
      <c r="P166" s="350"/>
      <c r="Q166" s="350"/>
      <c r="R166" s="350"/>
      <c r="S166" s="350"/>
      <c r="T166" s="350"/>
      <c r="U166" s="350"/>
      <c r="V166" s="350"/>
      <c r="W166" s="350"/>
      <c r="X166" s="350"/>
      <c r="Y166" s="350"/>
      <c r="Z166" s="351" t="s">
        <v>1575</v>
      </c>
      <c r="AA166" s="351"/>
      <c r="AB166" s="351"/>
      <c r="AC166" s="351"/>
      <c r="AD166" s="351"/>
      <c r="AE166" s="351"/>
      <c r="AF166" s="351" t="s">
        <v>1576</v>
      </c>
      <c r="AG166" s="351"/>
      <c r="AH166" s="351"/>
      <c r="AI166" s="351"/>
      <c r="AJ166" s="351" t="s">
        <v>2331</v>
      </c>
      <c r="AK166" s="351"/>
      <c r="AL166" s="351"/>
      <c r="AM166" s="351"/>
      <c r="AN166" s="351"/>
      <c r="AO166" s="351"/>
      <c r="AP166" s="351" t="s">
        <v>2332</v>
      </c>
      <c r="AQ166" s="351"/>
      <c r="AR166" s="351" t="s">
        <v>2333</v>
      </c>
      <c r="AS166" s="351"/>
    </row>
    <row r="167" spans="1:45" ht="9.75" customHeight="1" thickBot="1">
      <c r="A167" s="398" t="s">
        <v>2334</v>
      </c>
      <c r="B167" s="398"/>
      <c r="C167" s="398"/>
      <c r="D167" s="398"/>
      <c r="E167" s="398" t="s">
        <v>2335</v>
      </c>
      <c r="F167" s="398"/>
      <c r="G167" s="398"/>
      <c r="H167" s="399"/>
      <c r="I167" s="399"/>
      <c r="J167" s="399"/>
      <c r="K167" s="399"/>
      <c r="L167" s="399"/>
      <c r="M167" s="399"/>
      <c r="N167" s="399"/>
      <c r="O167" s="399"/>
      <c r="P167" s="399"/>
      <c r="Q167" s="399"/>
      <c r="R167" s="399"/>
      <c r="S167" s="399"/>
      <c r="T167" s="399"/>
      <c r="U167" s="399"/>
      <c r="V167" s="399"/>
      <c r="W167" s="399"/>
      <c r="X167" s="399"/>
      <c r="Y167" s="399"/>
      <c r="Z167" s="399" t="s">
        <v>1659</v>
      </c>
      <c r="AA167" s="399"/>
      <c r="AB167" s="399"/>
      <c r="AC167" s="399"/>
      <c r="AD167" s="399"/>
      <c r="AE167" s="399"/>
      <c r="AF167" s="399" t="s">
        <v>1729</v>
      </c>
      <c r="AG167" s="399"/>
      <c r="AH167" s="399"/>
      <c r="AI167" s="399"/>
      <c r="AJ167" s="399" t="s">
        <v>2336</v>
      </c>
      <c r="AK167" s="399"/>
      <c r="AL167" s="399"/>
      <c r="AM167" s="399"/>
      <c r="AN167" s="399"/>
      <c r="AO167" s="399"/>
      <c r="AP167" s="399"/>
      <c r="AQ167" s="399"/>
      <c r="AR167" s="399"/>
      <c r="AS167" s="399"/>
    </row>
    <row r="168" spans="1:45" ht="4.5" customHeight="1" thickBot="1">
      <c r="A168" s="400"/>
      <c r="B168" s="400"/>
      <c r="C168" s="400"/>
      <c r="D168" s="400"/>
      <c r="E168" s="400"/>
      <c r="F168" s="400"/>
      <c r="G168" s="400"/>
      <c r="H168" s="400"/>
      <c r="I168" s="400"/>
      <c r="J168" s="400"/>
      <c r="K168" s="400"/>
      <c r="L168" s="400"/>
      <c r="M168" s="400"/>
      <c r="N168" s="400"/>
      <c r="O168" s="400"/>
      <c r="P168" s="400"/>
      <c r="Q168" s="400"/>
      <c r="R168" s="400"/>
      <c r="S168" s="400"/>
      <c r="T168" s="400"/>
      <c r="U168" s="400"/>
      <c r="V168" s="400"/>
      <c r="W168" s="400"/>
      <c r="X168" s="400"/>
      <c r="Y168" s="400"/>
      <c r="Z168" s="401"/>
      <c r="AA168" s="401"/>
      <c r="AB168" s="401"/>
      <c r="AC168" s="401"/>
      <c r="AD168" s="401"/>
      <c r="AE168" s="401"/>
      <c r="AF168" s="401"/>
      <c r="AG168" s="401"/>
      <c r="AH168" s="401"/>
      <c r="AI168" s="401"/>
      <c r="AJ168" s="401"/>
      <c r="AK168" s="401"/>
      <c r="AL168" s="401"/>
      <c r="AM168" s="401"/>
      <c r="AN168" s="401"/>
      <c r="AO168" s="401"/>
      <c r="AP168" s="402"/>
      <c r="AQ168" s="402"/>
      <c r="AR168" s="402"/>
      <c r="AS168" s="402"/>
    </row>
    <row r="169" spans="1:45" ht="10.5" customHeight="1">
      <c r="A169" s="354" t="s">
        <v>258</v>
      </c>
      <c r="B169" s="354"/>
      <c r="C169" s="354"/>
      <c r="D169" s="354"/>
      <c r="E169" s="407" t="s">
        <v>1875</v>
      </c>
      <c r="F169" s="407"/>
      <c r="G169" s="407"/>
      <c r="H169" s="354" t="s">
        <v>1876</v>
      </c>
      <c r="I169" s="354"/>
      <c r="J169" s="354"/>
      <c r="K169" s="354"/>
      <c r="L169" s="354"/>
      <c r="M169" s="354"/>
      <c r="N169" s="354"/>
      <c r="O169" s="354"/>
      <c r="P169" s="354"/>
      <c r="Q169" s="354"/>
      <c r="R169" s="354"/>
      <c r="S169" s="354"/>
      <c r="T169" s="354"/>
      <c r="U169" s="354"/>
      <c r="V169" s="354"/>
      <c r="W169" s="354"/>
      <c r="X169" s="354"/>
      <c r="Y169" s="354"/>
      <c r="Z169" s="355"/>
      <c r="AA169" s="355"/>
      <c r="AB169" s="355"/>
      <c r="AC169" s="355"/>
      <c r="AD169" s="355"/>
      <c r="AE169" s="355"/>
      <c r="AF169" s="355"/>
      <c r="AG169" s="355"/>
      <c r="AH169" s="355"/>
      <c r="AI169" s="355"/>
      <c r="AJ169" s="355" t="s">
        <v>259</v>
      </c>
      <c r="AK169" s="355"/>
      <c r="AL169" s="355"/>
      <c r="AM169" s="355"/>
      <c r="AN169" s="355"/>
      <c r="AO169" s="355"/>
      <c r="AP169" s="408" t="s">
        <v>2345</v>
      </c>
      <c r="AQ169" s="408"/>
      <c r="AR169" s="408" t="s">
        <v>2345</v>
      </c>
      <c r="AS169" s="408"/>
    </row>
    <row r="170" spans="1:45" ht="10.5" customHeight="1">
      <c r="A170" s="343" t="s">
        <v>258</v>
      </c>
      <c r="B170" s="343"/>
      <c r="C170" s="343"/>
      <c r="D170" s="343"/>
      <c r="E170" s="348" t="s">
        <v>1930</v>
      </c>
      <c r="F170" s="348"/>
      <c r="G170" s="348"/>
      <c r="H170" s="343" t="s">
        <v>1931</v>
      </c>
      <c r="I170" s="343"/>
      <c r="J170" s="343"/>
      <c r="K170" s="343"/>
      <c r="L170" s="343"/>
      <c r="M170" s="343"/>
      <c r="N170" s="343"/>
      <c r="O170" s="343"/>
      <c r="P170" s="343"/>
      <c r="Q170" s="343"/>
      <c r="R170" s="343"/>
      <c r="S170" s="343"/>
      <c r="T170" s="343"/>
      <c r="U170" s="343"/>
      <c r="V170" s="343"/>
      <c r="W170" s="343"/>
      <c r="X170" s="343"/>
      <c r="Y170" s="343"/>
      <c r="Z170" s="352"/>
      <c r="AA170" s="352"/>
      <c r="AB170" s="352"/>
      <c r="AC170" s="352"/>
      <c r="AD170" s="352"/>
      <c r="AE170" s="352"/>
      <c r="AF170" s="352"/>
      <c r="AG170" s="352"/>
      <c r="AH170" s="352"/>
      <c r="AI170" s="352"/>
      <c r="AJ170" s="352" t="s">
        <v>260</v>
      </c>
      <c r="AK170" s="352"/>
      <c r="AL170" s="352"/>
      <c r="AM170" s="352"/>
      <c r="AN170" s="352"/>
      <c r="AO170" s="352"/>
      <c r="AP170" s="403" t="s">
        <v>2345</v>
      </c>
      <c r="AQ170" s="403"/>
      <c r="AR170" s="403" t="s">
        <v>2345</v>
      </c>
      <c r="AS170" s="403"/>
    </row>
    <row r="171" spans="1:45" ht="10.5" customHeight="1">
      <c r="A171" s="343" t="s">
        <v>258</v>
      </c>
      <c r="B171" s="343"/>
      <c r="C171" s="343"/>
      <c r="D171" s="343"/>
      <c r="E171" s="348" t="s">
        <v>1940</v>
      </c>
      <c r="F171" s="348"/>
      <c r="G171" s="348"/>
      <c r="H171" s="343" t="s">
        <v>1941</v>
      </c>
      <c r="I171" s="343"/>
      <c r="J171" s="343"/>
      <c r="K171" s="343"/>
      <c r="L171" s="343"/>
      <c r="M171" s="343"/>
      <c r="N171" s="343"/>
      <c r="O171" s="343"/>
      <c r="P171" s="343"/>
      <c r="Q171" s="343"/>
      <c r="R171" s="343"/>
      <c r="S171" s="343"/>
      <c r="T171" s="343"/>
      <c r="U171" s="343"/>
      <c r="V171" s="343"/>
      <c r="W171" s="343"/>
      <c r="X171" s="343"/>
      <c r="Y171" s="343"/>
      <c r="Z171" s="352"/>
      <c r="AA171" s="352"/>
      <c r="AB171" s="352"/>
      <c r="AC171" s="352"/>
      <c r="AD171" s="352"/>
      <c r="AE171" s="352"/>
      <c r="AF171" s="352"/>
      <c r="AG171" s="352"/>
      <c r="AH171" s="352"/>
      <c r="AI171" s="352"/>
      <c r="AJ171" s="352" t="s">
        <v>261</v>
      </c>
      <c r="AK171" s="352"/>
      <c r="AL171" s="352"/>
      <c r="AM171" s="352"/>
      <c r="AN171" s="352"/>
      <c r="AO171" s="352"/>
      <c r="AP171" s="403" t="s">
        <v>2345</v>
      </c>
      <c r="AQ171" s="403"/>
      <c r="AR171" s="403" t="s">
        <v>2345</v>
      </c>
      <c r="AS171" s="403"/>
    </row>
    <row r="172" spans="1:45" ht="13.5" thickBot="1">
      <c r="A172" s="404" t="s">
        <v>258</v>
      </c>
      <c r="B172" s="404"/>
      <c r="C172" s="404"/>
      <c r="D172" s="404"/>
      <c r="E172" s="404" t="s">
        <v>262</v>
      </c>
      <c r="F172" s="404"/>
      <c r="G172" s="404"/>
      <c r="H172" s="404"/>
      <c r="I172" s="404"/>
      <c r="J172" s="404"/>
      <c r="K172" s="404"/>
      <c r="L172" s="404"/>
      <c r="M172" s="404"/>
      <c r="N172" s="404"/>
      <c r="O172" s="404"/>
      <c r="P172" s="404"/>
      <c r="Q172" s="404"/>
      <c r="R172" s="404"/>
      <c r="S172" s="404"/>
      <c r="T172" s="404"/>
      <c r="U172" s="404"/>
      <c r="V172" s="404"/>
      <c r="W172" s="404"/>
      <c r="X172" s="404"/>
      <c r="Y172" s="404"/>
      <c r="Z172" s="405"/>
      <c r="AA172" s="405"/>
      <c r="AB172" s="405"/>
      <c r="AC172" s="405"/>
      <c r="AD172" s="405"/>
      <c r="AE172" s="405"/>
      <c r="AF172" s="405"/>
      <c r="AG172" s="405"/>
      <c r="AH172" s="405"/>
      <c r="AI172" s="405"/>
      <c r="AJ172" s="405" t="s">
        <v>263</v>
      </c>
      <c r="AK172" s="405"/>
      <c r="AL172" s="405"/>
      <c r="AM172" s="405"/>
      <c r="AN172" s="405"/>
      <c r="AO172" s="405"/>
      <c r="AP172" s="406" t="s">
        <v>2345</v>
      </c>
      <c r="AQ172" s="406"/>
      <c r="AR172" s="406" t="s">
        <v>2345</v>
      </c>
      <c r="AS172" s="406"/>
    </row>
    <row r="173" spans="1:45" ht="10.5" customHeight="1">
      <c r="A173" s="354" t="s">
        <v>264</v>
      </c>
      <c r="B173" s="354"/>
      <c r="C173" s="354"/>
      <c r="D173" s="354"/>
      <c r="E173" s="407" t="s">
        <v>2075</v>
      </c>
      <c r="F173" s="407"/>
      <c r="G173" s="407"/>
      <c r="H173" s="354" t="s">
        <v>2076</v>
      </c>
      <c r="I173" s="354"/>
      <c r="J173" s="354"/>
      <c r="K173" s="354"/>
      <c r="L173" s="354"/>
      <c r="M173" s="354"/>
      <c r="N173" s="354"/>
      <c r="O173" s="354"/>
      <c r="P173" s="354"/>
      <c r="Q173" s="354"/>
      <c r="R173" s="354"/>
      <c r="S173" s="354"/>
      <c r="T173" s="354"/>
      <c r="U173" s="354"/>
      <c r="V173" s="354"/>
      <c r="W173" s="354"/>
      <c r="X173" s="354"/>
      <c r="Y173" s="354"/>
      <c r="Z173" s="355"/>
      <c r="AA173" s="355"/>
      <c r="AB173" s="355"/>
      <c r="AC173" s="355"/>
      <c r="AD173" s="355"/>
      <c r="AE173" s="355"/>
      <c r="AF173" s="355" t="s">
        <v>265</v>
      </c>
      <c r="AG173" s="355"/>
      <c r="AH173" s="355"/>
      <c r="AI173" s="355"/>
      <c r="AJ173" s="355" t="s">
        <v>266</v>
      </c>
      <c r="AK173" s="355"/>
      <c r="AL173" s="355"/>
      <c r="AM173" s="355"/>
      <c r="AN173" s="355"/>
      <c r="AO173" s="355"/>
      <c r="AP173" s="408" t="s">
        <v>2345</v>
      </c>
      <c r="AQ173" s="408"/>
      <c r="AR173" s="408" t="s">
        <v>267</v>
      </c>
      <c r="AS173" s="408"/>
    </row>
    <row r="174" spans="1:45" ht="13.5" thickBot="1">
      <c r="A174" s="404" t="s">
        <v>264</v>
      </c>
      <c r="B174" s="404"/>
      <c r="C174" s="404"/>
      <c r="D174" s="404"/>
      <c r="E174" s="404" t="s">
        <v>268</v>
      </c>
      <c r="F174" s="404"/>
      <c r="G174" s="404"/>
      <c r="H174" s="404"/>
      <c r="I174" s="404"/>
      <c r="J174" s="404"/>
      <c r="K174" s="404"/>
      <c r="L174" s="404"/>
      <c r="M174" s="404"/>
      <c r="N174" s="404"/>
      <c r="O174" s="404"/>
      <c r="P174" s="404"/>
      <c r="Q174" s="404"/>
      <c r="R174" s="404"/>
      <c r="S174" s="404"/>
      <c r="T174" s="404"/>
      <c r="U174" s="404"/>
      <c r="V174" s="404"/>
      <c r="W174" s="404"/>
      <c r="X174" s="404"/>
      <c r="Y174" s="404"/>
      <c r="Z174" s="405"/>
      <c r="AA174" s="405"/>
      <c r="AB174" s="405"/>
      <c r="AC174" s="405"/>
      <c r="AD174" s="405"/>
      <c r="AE174" s="405"/>
      <c r="AF174" s="405" t="s">
        <v>265</v>
      </c>
      <c r="AG174" s="405"/>
      <c r="AH174" s="405"/>
      <c r="AI174" s="405"/>
      <c r="AJ174" s="405" t="s">
        <v>266</v>
      </c>
      <c r="AK174" s="405"/>
      <c r="AL174" s="405"/>
      <c r="AM174" s="405"/>
      <c r="AN174" s="405"/>
      <c r="AO174" s="405"/>
      <c r="AP174" s="406" t="s">
        <v>2345</v>
      </c>
      <c r="AQ174" s="406"/>
      <c r="AR174" s="406" t="s">
        <v>267</v>
      </c>
      <c r="AS174" s="406"/>
    </row>
    <row r="175" spans="1:45" ht="10.5" customHeight="1">
      <c r="A175" s="354" t="s">
        <v>269</v>
      </c>
      <c r="B175" s="354"/>
      <c r="C175" s="354"/>
      <c r="D175" s="354"/>
      <c r="E175" s="407" t="s">
        <v>1930</v>
      </c>
      <c r="F175" s="407"/>
      <c r="G175" s="407"/>
      <c r="H175" s="354" t="s">
        <v>1931</v>
      </c>
      <c r="I175" s="354"/>
      <c r="J175" s="354"/>
      <c r="K175" s="354"/>
      <c r="L175" s="354"/>
      <c r="M175" s="354"/>
      <c r="N175" s="354"/>
      <c r="O175" s="354"/>
      <c r="P175" s="354"/>
      <c r="Q175" s="354"/>
      <c r="R175" s="354"/>
      <c r="S175" s="354"/>
      <c r="T175" s="354"/>
      <c r="U175" s="354"/>
      <c r="V175" s="354"/>
      <c r="W175" s="354"/>
      <c r="X175" s="354"/>
      <c r="Y175" s="354"/>
      <c r="Z175" s="355"/>
      <c r="AA175" s="355"/>
      <c r="AB175" s="355"/>
      <c r="AC175" s="355"/>
      <c r="AD175" s="355"/>
      <c r="AE175" s="355"/>
      <c r="AF175" s="355" t="s">
        <v>270</v>
      </c>
      <c r="AG175" s="355"/>
      <c r="AH175" s="355"/>
      <c r="AI175" s="355"/>
      <c r="AJ175" s="355" t="s">
        <v>271</v>
      </c>
      <c r="AK175" s="355"/>
      <c r="AL175" s="355"/>
      <c r="AM175" s="355"/>
      <c r="AN175" s="355"/>
      <c r="AO175" s="355"/>
      <c r="AP175" s="408" t="s">
        <v>2345</v>
      </c>
      <c r="AQ175" s="408"/>
      <c r="AR175" s="408" t="s">
        <v>272</v>
      </c>
      <c r="AS175" s="408"/>
    </row>
    <row r="176" spans="1:45" ht="10.5" customHeight="1">
      <c r="A176" s="343" t="s">
        <v>269</v>
      </c>
      <c r="B176" s="343"/>
      <c r="C176" s="343"/>
      <c r="D176" s="343"/>
      <c r="E176" s="348" t="s">
        <v>1940</v>
      </c>
      <c r="F176" s="348"/>
      <c r="G176" s="348"/>
      <c r="H176" s="343" t="s">
        <v>1941</v>
      </c>
      <c r="I176" s="343"/>
      <c r="J176" s="343"/>
      <c r="K176" s="343"/>
      <c r="L176" s="343"/>
      <c r="M176" s="343"/>
      <c r="N176" s="343"/>
      <c r="O176" s="343"/>
      <c r="P176" s="343"/>
      <c r="Q176" s="343"/>
      <c r="R176" s="343"/>
      <c r="S176" s="343"/>
      <c r="T176" s="343"/>
      <c r="U176" s="343"/>
      <c r="V176" s="343"/>
      <c r="W176" s="343"/>
      <c r="X176" s="343"/>
      <c r="Y176" s="343"/>
      <c r="Z176" s="352"/>
      <c r="AA176" s="352"/>
      <c r="AB176" s="352"/>
      <c r="AC176" s="352"/>
      <c r="AD176" s="352"/>
      <c r="AE176" s="352"/>
      <c r="AF176" s="352" t="s">
        <v>2435</v>
      </c>
      <c r="AG176" s="352"/>
      <c r="AH176" s="352"/>
      <c r="AI176" s="352"/>
      <c r="AJ176" s="352" t="s">
        <v>273</v>
      </c>
      <c r="AK176" s="352"/>
      <c r="AL176" s="352"/>
      <c r="AM176" s="352"/>
      <c r="AN176" s="352"/>
      <c r="AO176" s="352"/>
      <c r="AP176" s="403" t="s">
        <v>2345</v>
      </c>
      <c r="AQ176" s="403"/>
      <c r="AR176" s="403" t="s">
        <v>274</v>
      </c>
      <c r="AS176" s="403"/>
    </row>
    <row r="177" spans="1:45" ht="10.5" customHeight="1">
      <c r="A177" s="343" t="s">
        <v>269</v>
      </c>
      <c r="B177" s="343"/>
      <c r="C177" s="343"/>
      <c r="D177" s="343"/>
      <c r="E177" s="348" t="s">
        <v>1999</v>
      </c>
      <c r="F177" s="348"/>
      <c r="G177" s="348"/>
      <c r="H177" s="343" t="s">
        <v>0</v>
      </c>
      <c r="I177" s="343"/>
      <c r="J177" s="343"/>
      <c r="K177" s="343"/>
      <c r="L177" s="343"/>
      <c r="M177" s="343"/>
      <c r="N177" s="343"/>
      <c r="O177" s="343"/>
      <c r="P177" s="343"/>
      <c r="Q177" s="343"/>
      <c r="R177" s="343"/>
      <c r="S177" s="343"/>
      <c r="T177" s="343"/>
      <c r="U177" s="343"/>
      <c r="V177" s="343"/>
      <c r="W177" s="343"/>
      <c r="X177" s="343"/>
      <c r="Y177" s="343"/>
      <c r="Z177" s="352" t="s">
        <v>275</v>
      </c>
      <c r="AA177" s="352"/>
      <c r="AB177" s="352"/>
      <c r="AC177" s="352"/>
      <c r="AD177" s="352"/>
      <c r="AE177" s="352"/>
      <c r="AF177" s="352" t="s">
        <v>276</v>
      </c>
      <c r="AG177" s="352"/>
      <c r="AH177" s="352"/>
      <c r="AI177" s="352"/>
      <c r="AJ177" s="352" t="s">
        <v>276</v>
      </c>
      <c r="AK177" s="352"/>
      <c r="AL177" s="352"/>
      <c r="AM177" s="352"/>
      <c r="AN177" s="352"/>
      <c r="AO177" s="352"/>
      <c r="AP177" s="403" t="s">
        <v>277</v>
      </c>
      <c r="AQ177" s="403"/>
      <c r="AR177" s="403" t="s">
        <v>2353</v>
      </c>
      <c r="AS177" s="403"/>
    </row>
    <row r="178" spans="1:45" ht="10.5" customHeight="1">
      <c r="A178" s="343" t="s">
        <v>269</v>
      </c>
      <c r="B178" s="343"/>
      <c r="C178" s="343"/>
      <c r="D178" s="343"/>
      <c r="E178" s="348" t="s">
        <v>2075</v>
      </c>
      <c r="F178" s="348"/>
      <c r="G178" s="348"/>
      <c r="H178" s="343" t="s">
        <v>2076</v>
      </c>
      <c r="I178" s="343"/>
      <c r="J178" s="343"/>
      <c r="K178" s="343"/>
      <c r="L178" s="343"/>
      <c r="M178" s="343"/>
      <c r="N178" s="343"/>
      <c r="O178" s="343"/>
      <c r="P178" s="343"/>
      <c r="Q178" s="343"/>
      <c r="R178" s="343"/>
      <c r="S178" s="343"/>
      <c r="T178" s="343"/>
      <c r="U178" s="343"/>
      <c r="V178" s="343"/>
      <c r="W178" s="343"/>
      <c r="X178" s="343"/>
      <c r="Y178" s="343"/>
      <c r="Z178" s="352"/>
      <c r="AA178" s="352"/>
      <c r="AB178" s="352"/>
      <c r="AC178" s="352"/>
      <c r="AD178" s="352"/>
      <c r="AE178" s="352"/>
      <c r="AF178" s="352" t="s">
        <v>74</v>
      </c>
      <c r="AG178" s="352"/>
      <c r="AH178" s="352"/>
      <c r="AI178" s="352"/>
      <c r="AJ178" s="352" t="s">
        <v>278</v>
      </c>
      <c r="AK178" s="352"/>
      <c r="AL178" s="352"/>
      <c r="AM178" s="352"/>
      <c r="AN178" s="352"/>
      <c r="AO178" s="352"/>
      <c r="AP178" s="403" t="s">
        <v>2345</v>
      </c>
      <c r="AQ178" s="403"/>
      <c r="AR178" s="403" t="s">
        <v>279</v>
      </c>
      <c r="AS178" s="403"/>
    </row>
    <row r="179" spans="1:45" ht="10.5" customHeight="1">
      <c r="A179" s="343" t="s">
        <v>269</v>
      </c>
      <c r="B179" s="343"/>
      <c r="C179" s="343"/>
      <c r="D179" s="343"/>
      <c r="E179" s="348" t="s">
        <v>2110</v>
      </c>
      <c r="F179" s="348"/>
      <c r="G179" s="348"/>
      <c r="H179" s="343" t="s">
        <v>280</v>
      </c>
      <c r="I179" s="343"/>
      <c r="J179" s="343"/>
      <c r="K179" s="343"/>
      <c r="L179" s="343"/>
      <c r="M179" s="343"/>
      <c r="N179" s="343"/>
      <c r="O179" s="343"/>
      <c r="P179" s="343"/>
      <c r="Q179" s="343"/>
      <c r="R179" s="343"/>
      <c r="S179" s="343"/>
      <c r="T179" s="343"/>
      <c r="U179" s="343"/>
      <c r="V179" s="343"/>
      <c r="W179" s="343"/>
      <c r="X179" s="343"/>
      <c r="Y179" s="343"/>
      <c r="Z179" s="352"/>
      <c r="AA179" s="352"/>
      <c r="AB179" s="352"/>
      <c r="AC179" s="352"/>
      <c r="AD179" s="352"/>
      <c r="AE179" s="352"/>
      <c r="AF179" s="352" t="s">
        <v>1634</v>
      </c>
      <c r="AG179" s="352"/>
      <c r="AH179" s="352"/>
      <c r="AI179" s="352"/>
      <c r="AJ179" s="352" t="s">
        <v>1634</v>
      </c>
      <c r="AK179" s="352"/>
      <c r="AL179" s="352"/>
      <c r="AM179" s="352"/>
      <c r="AN179" s="352"/>
      <c r="AO179" s="352"/>
      <c r="AP179" s="403" t="s">
        <v>2345</v>
      </c>
      <c r="AQ179" s="403"/>
      <c r="AR179" s="403" t="s">
        <v>2353</v>
      </c>
      <c r="AS179" s="403"/>
    </row>
    <row r="180" spans="1:45" ht="13.5" thickBot="1">
      <c r="A180" s="404" t="s">
        <v>269</v>
      </c>
      <c r="B180" s="404"/>
      <c r="C180" s="404"/>
      <c r="D180" s="404"/>
      <c r="E180" s="404" t="s">
        <v>281</v>
      </c>
      <c r="F180" s="404"/>
      <c r="G180" s="404"/>
      <c r="H180" s="404"/>
      <c r="I180" s="404"/>
      <c r="J180" s="404"/>
      <c r="K180" s="404"/>
      <c r="L180" s="404"/>
      <c r="M180" s="404"/>
      <c r="N180" s="404"/>
      <c r="O180" s="404"/>
      <c r="P180" s="404"/>
      <c r="Q180" s="404"/>
      <c r="R180" s="404"/>
      <c r="S180" s="404"/>
      <c r="T180" s="404"/>
      <c r="U180" s="404"/>
      <c r="V180" s="404"/>
      <c r="W180" s="404"/>
      <c r="X180" s="404"/>
      <c r="Y180" s="404"/>
      <c r="Z180" s="405" t="s">
        <v>275</v>
      </c>
      <c r="AA180" s="405"/>
      <c r="AB180" s="405"/>
      <c r="AC180" s="405"/>
      <c r="AD180" s="405"/>
      <c r="AE180" s="405"/>
      <c r="AF180" s="405" t="s">
        <v>282</v>
      </c>
      <c r="AG180" s="405"/>
      <c r="AH180" s="405"/>
      <c r="AI180" s="405"/>
      <c r="AJ180" s="405" t="s">
        <v>283</v>
      </c>
      <c r="AK180" s="405"/>
      <c r="AL180" s="405"/>
      <c r="AM180" s="405"/>
      <c r="AN180" s="405"/>
      <c r="AO180" s="405"/>
      <c r="AP180" s="406" t="s">
        <v>284</v>
      </c>
      <c r="AQ180" s="406"/>
      <c r="AR180" s="406" t="s">
        <v>176</v>
      </c>
      <c r="AS180" s="406"/>
    </row>
    <row r="181" spans="1:45" ht="10.5" customHeight="1">
      <c r="A181" s="354" t="s">
        <v>285</v>
      </c>
      <c r="B181" s="354"/>
      <c r="C181" s="354"/>
      <c r="D181" s="354"/>
      <c r="E181" s="407" t="s">
        <v>1999</v>
      </c>
      <c r="F181" s="407"/>
      <c r="G181" s="407"/>
      <c r="H181" s="354" t="s">
        <v>0</v>
      </c>
      <c r="I181" s="354"/>
      <c r="J181" s="354"/>
      <c r="K181" s="354"/>
      <c r="L181" s="354"/>
      <c r="M181" s="354"/>
      <c r="N181" s="354"/>
      <c r="O181" s="354"/>
      <c r="P181" s="354"/>
      <c r="Q181" s="354"/>
      <c r="R181" s="354"/>
      <c r="S181" s="354"/>
      <c r="T181" s="354"/>
      <c r="U181" s="354"/>
      <c r="V181" s="354"/>
      <c r="W181" s="354"/>
      <c r="X181" s="354"/>
      <c r="Y181" s="354"/>
      <c r="Z181" s="355" t="s">
        <v>1681</v>
      </c>
      <c r="AA181" s="355"/>
      <c r="AB181" s="355"/>
      <c r="AC181" s="355"/>
      <c r="AD181" s="355"/>
      <c r="AE181" s="355"/>
      <c r="AF181" s="355" t="s">
        <v>286</v>
      </c>
      <c r="AG181" s="355"/>
      <c r="AH181" s="355"/>
      <c r="AI181" s="355"/>
      <c r="AJ181" s="355" t="s">
        <v>286</v>
      </c>
      <c r="AK181" s="355"/>
      <c r="AL181" s="355"/>
      <c r="AM181" s="355"/>
      <c r="AN181" s="355"/>
      <c r="AO181" s="355"/>
      <c r="AP181" s="408" t="s">
        <v>287</v>
      </c>
      <c r="AQ181" s="408"/>
      <c r="AR181" s="408" t="s">
        <v>2353</v>
      </c>
      <c r="AS181" s="408"/>
    </row>
    <row r="182" spans="1:45" ht="10.5" customHeight="1">
      <c r="A182" s="343" t="s">
        <v>285</v>
      </c>
      <c r="B182" s="343"/>
      <c r="C182" s="343"/>
      <c r="D182" s="343"/>
      <c r="E182" s="348" t="s">
        <v>2084</v>
      </c>
      <c r="F182" s="348"/>
      <c r="G182" s="348"/>
      <c r="H182" s="343" t="s">
        <v>2085</v>
      </c>
      <c r="I182" s="343"/>
      <c r="J182" s="343"/>
      <c r="K182" s="343"/>
      <c r="L182" s="343"/>
      <c r="M182" s="343"/>
      <c r="N182" s="343"/>
      <c r="O182" s="343"/>
      <c r="P182" s="343"/>
      <c r="Q182" s="343"/>
      <c r="R182" s="343"/>
      <c r="S182" s="343"/>
      <c r="T182" s="343"/>
      <c r="U182" s="343"/>
      <c r="V182" s="343"/>
      <c r="W182" s="343"/>
      <c r="X182" s="343"/>
      <c r="Y182" s="343"/>
      <c r="Z182" s="352"/>
      <c r="AA182" s="352"/>
      <c r="AB182" s="352"/>
      <c r="AC182" s="352"/>
      <c r="AD182" s="352"/>
      <c r="AE182" s="352"/>
      <c r="AF182" s="352" t="s">
        <v>142</v>
      </c>
      <c r="AG182" s="352"/>
      <c r="AH182" s="352"/>
      <c r="AI182" s="352"/>
      <c r="AJ182" s="352" t="s">
        <v>288</v>
      </c>
      <c r="AK182" s="352"/>
      <c r="AL182" s="352"/>
      <c r="AM182" s="352"/>
      <c r="AN182" s="352"/>
      <c r="AO182" s="352"/>
      <c r="AP182" s="403" t="s">
        <v>2345</v>
      </c>
      <c r="AQ182" s="403"/>
      <c r="AR182" s="403" t="s">
        <v>77</v>
      </c>
      <c r="AS182" s="403"/>
    </row>
    <row r="183" spans="1:45" ht="13.5" thickBot="1">
      <c r="A183" s="404" t="s">
        <v>285</v>
      </c>
      <c r="B183" s="404"/>
      <c r="C183" s="404"/>
      <c r="D183" s="404"/>
      <c r="E183" s="404" t="s">
        <v>289</v>
      </c>
      <c r="F183" s="404"/>
      <c r="G183" s="404"/>
      <c r="H183" s="404"/>
      <c r="I183" s="404"/>
      <c r="J183" s="404"/>
      <c r="K183" s="404"/>
      <c r="L183" s="404"/>
      <c r="M183" s="404"/>
      <c r="N183" s="404"/>
      <c r="O183" s="404"/>
      <c r="P183" s="404"/>
      <c r="Q183" s="404"/>
      <c r="R183" s="404"/>
      <c r="S183" s="404"/>
      <c r="T183" s="404"/>
      <c r="U183" s="404"/>
      <c r="V183" s="404"/>
      <c r="W183" s="404"/>
      <c r="X183" s="404"/>
      <c r="Y183" s="404"/>
      <c r="Z183" s="405" t="s">
        <v>1681</v>
      </c>
      <c r="AA183" s="405"/>
      <c r="AB183" s="405"/>
      <c r="AC183" s="405"/>
      <c r="AD183" s="405"/>
      <c r="AE183" s="405"/>
      <c r="AF183" s="405" t="s">
        <v>290</v>
      </c>
      <c r="AG183" s="405"/>
      <c r="AH183" s="405"/>
      <c r="AI183" s="405"/>
      <c r="AJ183" s="405" t="s">
        <v>291</v>
      </c>
      <c r="AK183" s="405"/>
      <c r="AL183" s="405"/>
      <c r="AM183" s="405"/>
      <c r="AN183" s="405"/>
      <c r="AO183" s="405"/>
      <c r="AP183" s="406" t="s">
        <v>292</v>
      </c>
      <c r="AQ183" s="406"/>
      <c r="AR183" s="406" t="s">
        <v>2353</v>
      </c>
      <c r="AS183" s="406"/>
    </row>
    <row r="184" spans="1:45" ht="10.5" customHeight="1">
      <c r="A184" s="354" t="s">
        <v>293</v>
      </c>
      <c r="B184" s="354"/>
      <c r="C184" s="354"/>
      <c r="D184" s="354"/>
      <c r="E184" s="407" t="s">
        <v>1930</v>
      </c>
      <c r="F184" s="407"/>
      <c r="G184" s="407"/>
      <c r="H184" s="354" t="s">
        <v>1931</v>
      </c>
      <c r="I184" s="354"/>
      <c r="J184" s="354"/>
      <c r="K184" s="354"/>
      <c r="L184" s="354"/>
      <c r="M184" s="354"/>
      <c r="N184" s="354"/>
      <c r="O184" s="354"/>
      <c r="P184" s="354"/>
      <c r="Q184" s="354"/>
      <c r="R184" s="354"/>
      <c r="S184" s="354"/>
      <c r="T184" s="354"/>
      <c r="U184" s="354"/>
      <c r="V184" s="354"/>
      <c r="W184" s="354"/>
      <c r="X184" s="354"/>
      <c r="Y184" s="354"/>
      <c r="Z184" s="355" t="s">
        <v>1670</v>
      </c>
      <c r="AA184" s="355"/>
      <c r="AB184" s="355"/>
      <c r="AC184" s="355"/>
      <c r="AD184" s="355"/>
      <c r="AE184" s="355"/>
      <c r="AF184" s="355" t="s">
        <v>1670</v>
      </c>
      <c r="AG184" s="355"/>
      <c r="AH184" s="355"/>
      <c r="AI184" s="355"/>
      <c r="AJ184" s="355" t="s">
        <v>294</v>
      </c>
      <c r="AK184" s="355"/>
      <c r="AL184" s="355"/>
      <c r="AM184" s="355"/>
      <c r="AN184" s="355"/>
      <c r="AO184" s="355"/>
      <c r="AP184" s="408" t="s">
        <v>295</v>
      </c>
      <c r="AQ184" s="408"/>
      <c r="AR184" s="408" t="s">
        <v>295</v>
      </c>
      <c r="AS184" s="408"/>
    </row>
    <row r="185" spans="1:45" ht="10.5" customHeight="1">
      <c r="A185" s="343" t="s">
        <v>293</v>
      </c>
      <c r="B185" s="343"/>
      <c r="C185" s="343"/>
      <c r="D185" s="343"/>
      <c r="E185" s="348" t="s">
        <v>2075</v>
      </c>
      <c r="F185" s="348"/>
      <c r="G185" s="348"/>
      <c r="H185" s="343" t="s">
        <v>2076</v>
      </c>
      <c r="I185" s="343"/>
      <c r="J185" s="343"/>
      <c r="K185" s="343"/>
      <c r="L185" s="343"/>
      <c r="M185" s="343"/>
      <c r="N185" s="343"/>
      <c r="O185" s="343"/>
      <c r="P185" s="343"/>
      <c r="Q185" s="343"/>
      <c r="R185" s="343"/>
      <c r="S185" s="343"/>
      <c r="T185" s="343"/>
      <c r="U185" s="343"/>
      <c r="V185" s="343"/>
      <c r="W185" s="343"/>
      <c r="X185" s="343"/>
      <c r="Y185" s="343"/>
      <c r="Z185" s="352"/>
      <c r="AA185" s="352"/>
      <c r="AB185" s="352"/>
      <c r="AC185" s="352"/>
      <c r="AD185" s="352"/>
      <c r="AE185" s="352"/>
      <c r="AF185" s="352" t="s">
        <v>296</v>
      </c>
      <c r="AG185" s="352"/>
      <c r="AH185" s="352"/>
      <c r="AI185" s="352"/>
      <c r="AJ185" s="352" t="s">
        <v>297</v>
      </c>
      <c r="AK185" s="352"/>
      <c r="AL185" s="352"/>
      <c r="AM185" s="352"/>
      <c r="AN185" s="352"/>
      <c r="AO185" s="352"/>
      <c r="AP185" s="403" t="s">
        <v>2345</v>
      </c>
      <c r="AQ185" s="403"/>
      <c r="AR185" s="403" t="s">
        <v>298</v>
      </c>
      <c r="AS185" s="403"/>
    </row>
    <row r="186" spans="1:45" ht="13.5" thickBot="1">
      <c r="A186" s="404" t="s">
        <v>293</v>
      </c>
      <c r="B186" s="404"/>
      <c r="C186" s="404"/>
      <c r="D186" s="404"/>
      <c r="E186" s="404" t="s">
        <v>299</v>
      </c>
      <c r="F186" s="404"/>
      <c r="G186" s="404"/>
      <c r="H186" s="404"/>
      <c r="I186" s="404"/>
      <c r="J186" s="404"/>
      <c r="K186" s="404"/>
      <c r="L186" s="404"/>
      <c r="M186" s="404"/>
      <c r="N186" s="404"/>
      <c r="O186" s="404"/>
      <c r="P186" s="404"/>
      <c r="Q186" s="404"/>
      <c r="R186" s="404"/>
      <c r="S186" s="404"/>
      <c r="T186" s="404"/>
      <c r="U186" s="404"/>
      <c r="V186" s="404"/>
      <c r="W186" s="404"/>
      <c r="X186" s="404"/>
      <c r="Y186" s="404"/>
      <c r="Z186" s="405" t="s">
        <v>1670</v>
      </c>
      <c r="AA186" s="405"/>
      <c r="AB186" s="405"/>
      <c r="AC186" s="405"/>
      <c r="AD186" s="405"/>
      <c r="AE186" s="405"/>
      <c r="AF186" s="405" t="s">
        <v>300</v>
      </c>
      <c r="AG186" s="405"/>
      <c r="AH186" s="405"/>
      <c r="AI186" s="405"/>
      <c r="AJ186" s="405" t="s">
        <v>301</v>
      </c>
      <c r="AK186" s="405"/>
      <c r="AL186" s="405"/>
      <c r="AM186" s="405"/>
      <c r="AN186" s="405"/>
      <c r="AO186" s="405"/>
      <c r="AP186" s="406" t="s">
        <v>302</v>
      </c>
      <c r="AQ186" s="406"/>
      <c r="AR186" s="406" t="s">
        <v>303</v>
      </c>
      <c r="AS186" s="406"/>
    </row>
    <row r="187" spans="1:45" ht="10.5" customHeight="1">
      <c r="A187" s="354" t="s">
        <v>304</v>
      </c>
      <c r="B187" s="354"/>
      <c r="C187" s="354"/>
      <c r="D187" s="354"/>
      <c r="E187" s="407" t="s">
        <v>2033</v>
      </c>
      <c r="F187" s="407"/>
      <c r="G187" s="407"/>
      <c r="H187" s="354" t="s">
        <v>2034</v>
      </c>
      <c r="I187" s="354"/>
      <c r="J187" s="354"/>
      <c r="K187" s="354"/>
      <c r="L187" s="354"/>
      <c r="M187" s="354"/>
      <c r="N187" s="354"/>
      <c r="O187" s="354"/>
      <c r="P187" s="354"/>
      <c r="Q187" s="354"/>
      <c r="R187" s="354"/>
      <c r="S187" s="354"/>
      <c r="T187" s="354"/>
      <c r="U187" s="354"/>
      <c r="V187" s="354"/>
      <c r="W187" s="354"/>
      <c r="X187" s="354"/>
      <c r="Y187" s="354"/>
      <c r="Z187" s="355"/>
      <c r="AA187" s="355"/>
      <c r="AB187" s="355"/>
      <c r="AC187" s="355"/>
      <c r="AD187" s="355"/>
      <c r="AE187" s="355"/>
      <c r="AF187" s="355" t="s">
        <v>2035</v>
      </c>
      <c r="AG187" s="355"/>
      <c r="AH187" s="355"/>
      <c r="AI187" s="355"/>
      <c r="AJ187" s="355" t="s">
        <v>2036</v>
      </c>
      <c r="AK187" s="355"/>
      <c r="AL187" s="355"/>
      <c r="AM187" s="355"/>
      <c r="AN187" s="355"/>
      <c r="AO187" s="355"/>
      <c r="AP187" s="408" t="s">
        <v>2345</v>
      </c>
      <c r="AQ187" s="408"/>
      <c r="AR187" s="408" t="s">
        <v>87</v>
      </c>
      <c r="AS187" s="408"/>
    </row>
    <row r="188" spans="1:45" ht="13.5" thickBot="1">
      <c r="A188" s="404" t="s">
        <v>304</v>
      </c>
      <c r="B188" s="404"/>
      <c r="C188" s="404"/>
      <c r="D188" s="404"/>
      <c r="E188" s="404" t="s">
        <v>305</v>
      </c>
      <c r="F188" s="404"/>
      <c r="G188" s="404"/>
      <c r="H188" s="404"/>
      <c r="I188" s="404"/>
      <c r="J188" s="404"/>
      <c r="K188" s="404"/>
      <c r="L188" s="404"/>
      <c r="M188" s="404"/>
      <c r="N188" s="404"/>
      <c r="O188" s="404"/>
      <c r="P188" s="404"/>
      <c r="Q188" s="404"/>
      <c r="R188" s="404"/>
      <c r="S188" s="404"/>
      <c r="T188" s="404"/>
      <c r="U188" s="404"/>
      <c r="V188" s="404"/>
      <c r="W188" s="404"/>
      <c r="X188" s="404"/>
      <c r="Y188" s="404"/>
      <c r="Z188" s="405"/>
      <c r="AA188" s="405"/>
      <c r="AB188" s="405"/>
      <c r="AC188" s="405"/>
      <c r="AD188" s="405"/>
      <c r="AE188" s="405"/>
      <c r="AF188" s="405" t="s">
        <v>2035</v>
      </c>
      <c r="AG188" s="405"/>
      <c r="AH188" s="405"/>
      <c r="AI188" s="405"/>
      <c r="AJ188" s="405" t="s">
        <v>2036</v>
      </c>
      <c r="AK188" s="405"/>
      <c r="AL188" s="405"/>
      <c r="AM188" s="405"/>
      <c r="AN188" s="405"/>
      <c r="AO188" s="405"/>
      <c r="AP188" s="406" t="s">
        <v>2345</v>
      </c>
      <c r="AQ188" s="406"/>
      <c r="AR188" s="406" t="s">
        <v>87</v>
      </c>
      <c r="AS188" s="406"/>
    </row>
    <row r="189" spans="1:45" ht="10.5" customHeight="1">
      <c r="A189" s="354" t="s">
        <v>306</v>
      </c>
      <c r="B189" s="354"/>
      <c r="C189" s="354"/>
      <c r="D189" s="354"/>
      <c r="E189" s="407" t="s">
        <v>1900</v>
      </c>
      <c r="F189" s="407"/>
      <c r="G189" s="407"/>
      <c r="H189" s="354" t="s">
        <v>1901</v>
      </c>
      <c r="I189" s="354"/>
      <c r="J189" s="354"/>
      <c r="K189" s="354"/>
      <c r="L189" s="354"/>
      <c r="M189" s="354"/>
      <c r="N189" s="354"/>
      <c r="O189" s="354"/>
      <c r="P189" s="354"/>
      <c r="Q189" s="354"/>
      <c r="R189" s="354"/>
      <c r="S189" s="354"/>
      <c r="T189" s="354"/>
      <c r="U189" s="354"/>
      <c r="V189" s="354"/>
      <c r="W189" s="354"/>
      <c r="X189" s="354"/>
      <c r="Y189" s="354"/>
      <c r="Z189" s="355"/>
      <c r="AA189" s="355"/>
      <c r="AB189" s="355"/>
      <c r="AC189" s="355"/>
      <c r="AD189" s="355"/>
      <c r="AE189" s="355"/>
      <c r="AF189" s="355"/>
      <c r="AG189" s="355"/>
      <c r="AH189" s="355"/>
      <c r="AI189" s="355"/>
      <c r="AJ189" s="355" t="s">
        <v>307</v>
      </c>
      <c r="AK189" s="355"/>
      <c r="AL189" s="355"/>
      <c r="AM189" s="355"/>
      <c r="AN189" s="355"/>
      <c r="AO189" s="355"/>
      <c r="AP189" s="408" t="s">
        <v>2345</v>
      </c>
      <c r="AQ189" s="408"/>
      <c r="AR189" s="408" t="s">
        <v>2345</v>
      </c>
      <c r="AS189" s="408"/>
    </row>
    <row r="190" spans="1:45" ht="13.5" thickBot="1">
      <c r="A190" s="404" t="s">
        <v>306</v>
      </c>
      <c r="B190" s="404"/>
      <c r="C190" s="404"/>
      <c r="D190" s="404"/>
      <c r="E190" s="404" t="s">
        <v>308</v>
      </c>
      <c r="F190" s="404"/>
      <c r="G190" s="404"/>
      <c r="H190" s="404"/>
      <c r="I190" s="404"/>
      <c r="J190" s="404"/>
      <c r="K190" s="404"/>
      <c r="L190" s="404"/>
      <c r="M190" s="404"/>
      <c r="N190" s="404"/>
      <c r="O190" s="404"/>
      <c r="P190" s="404"/>
      <c r="Q190" s="404"/>
      <c r="R190" s="404"/>
      <c r="S190" s="404"/>
      <c r="T190" s="404"/>
      <c r="U190" s="404"/>
      <c r="V190" s="404"/>
      <c r="W190" s="404"/>
      <c r="X190" s="404"/>
      <c r="Y190" s="404"/>
      <c r="Z190" s="405"/>
      <c r="AA190" s="405"/>
      <c r="AB190" s="405"/>
      <c r="AC190" s="405"/>
      <c r="AD190" s="405"/>
      <c r="AE190" s="405"/>
      <c r="AF190" s="405"/>
      <c r="AG190" s="405"/>
      <c r="AH190" s="405"/>
      <c r="AI190" s="405"/>
      <c r="AJ190" s="405" t="s">
        <v>307</v>
      </c>
      <c r="AK190" s="405"/>
      <c r="AL190" s="405"/>
      <c r="AM190" s="405"/>
      <c r="AN190" s="405"/>
      <c r="AO190" s="405"/>
      <c r="AP190" s="406" t="s">
        <v>2345</v>
      </c>
      <c r="AQ190" s="406"/>
      <c r="AR190" s="406" t="s">
        <v>2345</v>
      </c>
      <c r="AS190" s="406"/>
    </row>
    <row r="191" spans="1:45" ht="10.5" customHeight="1">
      <c r="A191" s="354" t="s">
        <v>309</v>
      </c>
      <c r="B191" s="354"/>
      <c r="C191" s="354"/>
      <c r="D191" s="354"/>
      <c r="E191" s="407" t="s">
        <v>1865</v>
      </c>
      <c r="F191" s="407"/>
      <c r="G191" s="407"/>
      <c r="H191" s="354" t="s">
        <v>2304</v>
      </c>
      <c r="I191" s="354"/>
      <c r="J191" s="354"/>
      <c r="K191" s="354"/>
      <c r="L191" s="354"/>
      <c r="M191" s="354"/>
      <c r="N191" s="354"/>
      <c r="O191" s="354"/>
      <c r="P191" s="354"/>
      <c r="Q191" s="354"/>
      <c r="R191" s="354"/>
      <c r="S191" s="354"/>
      <c r="T191" s="354"/>
      <c r="U191" s="354"/>
      <c r="V191" s="354"/>
      <c r="W191" s="354"/>
      <c r="X191" s="354"/>
      <c r="Y191" s="354"/>
      <c r="Z191" s="355" t="s">
        <v>190</v>
      </c>
      <c r="AA191" s="355"/>
      <c r="AB191" s="355"/>
      <c r="AC191" s="355"/>
      <c r="AD191" s="355"/>
      <c r="AE191" s="355"/>
      <c r="AF191" s="355" t="s">
        <v>2015</v>
      </c>
      <c r="AG191" s="355"/>
      <c r="AH191" s="355"/>
      <c r="AI191" s="355"/>
      <c r="AJ191" s="355" t="s">
        <v>310</v>
      </c>
      <c r="AK191" s="355"/>
      <c r="AL191" s="355"/>
      <c r="AM191" s="355"/>
      <c r="AN191" s="355"/>
      <c r="AO191" s="355"/>
      <c r="AP191" s="408" t="s">
        <v>311</v>
      </c>
      <c r="AQ191" s="408"/>
      <c r="AR191" s="408" t="s">
        <v>312</v>
      </c>
      <c r="AS191" s="408"/>
    </row>
    <row r="192" spans="1:45" ht="10.5" customHeight="1">
      <c r="A192" s="343" t="s">
        <v>309</v>
      </c>
      <c r="B192" s="343"/>
      <c r="C192" s="343"/>
      <c r="D192" s="343"/>
      <c r="E192" s="348" t="s">
        <v>1930</v>
      </c>
      <c r="F192" s="348"/>
      <c r="G192" s="348"/>
      <c r="H192" s="343" t="s">
        <v>1931</v>
      </c>
      <c r="I192" s="343"/>
      <c r="J192" s="343"/>
      <c r="K192" s="343"/>
      <c r="L192" s="343"/>
      <c r="M192" s="343"/>
      <c r="N192" s="343"/>
      <c r="O192" s="343"/>
      <c r="P192" s="343"/>
      <c r="Q192" s="343"/>
      <c r="R192" s="343"/>
      <c r="S192" s="343"/>
      <c r="T192" s="343"/>
      <c r="U192" s="343"/>
      <c r="V192" s="343"/>
      <c r="W192" s="343"/>
      <c r="X192" s="343"/>
      <c r="Y192" s="343"/>
      <c r="Z192" s="352" t="s">
        <v>74</v>
      </c>
      <c r="AA192" s="352"/>
      <c r="AB192" s="352"/>
      <c r="AC192" s="352"/>
      <c r="AD192" s="352"/>
      <c r="AE192" s="352"/>
      <c r="AF192" s="352" t="s">
        <v>313</v>
      </c>
      <c r="AG192" s="352"/>
      <c r="AH192" s="352"/>
      <c r="AI192" s="352"/>
      <c r="AJ192" s="352" t="s">
        <v>314</v>
      </c>
      <c r="AK192" s="352"/>
      <c r="AL192" s="352"/>
      <c r="AM192" s="352"/>
      <c r="AN192" s="352"/>
      <c r="AO192" s="352"/>
      <c r="AP192" s="403" t="s">
        <v>315</v>
      </c>
      <c r="AQ192" s="403"/>
      <c r="AR192" s="403" t="s">
        <v>316</v>
      </c>
      <c r="AS192" s="403"/>
    </row>
    <row r="193" spans="1:45" ht="10.5" customHeight="1">
      <c r="A193" s="343" t="s">
        <v>309</v>
      </c>
      <c r="B193" s="343"/>
      <c r="C193" s="343"/>
      <c r="D193" s="343"/>
      <c r="E193" s="348" t="s">
        <v>1970</v>
      </c>
      <c r="F193" s="348"/>
      <c r="G193" s="348"/>
      <c r="H193" s="343" t="s">
        <v>1971</v>
      </c>
      <c r="I193" s="343"/>
      <c r="J193" s="343"/>
      <c r="K193" s="343"/>
      <c r="L193" s="343"/>
      <c r="M193" s="343"/>
      <c r="N193" s="343"/>
      <c r="O193" s="343"/>
      <c r="P193" s="343"/>
      <c r="Q193" s="343"/>
      <c r="R193" s="343"/>
      <c r="S193" s="343"/>
      <c r="T193" s="343"/>
      <c r="U193" s="343"/>
      <c r="V193" s="343"/>
      <c r="W193" s="343"/>
      <c r="X193" s="343"/>
      <c r="Y193" s="343"/>
      <c r="Z193" s="352"/>
      <c r="AA193" s="352"/>
      <c r="AB193" s="352"/>
      <c r="AC193" s="352"/>
      <c r="AD193" s="352"/>
      <c r="AE193" s="352"/>
      <c r="AF193" s="352" t="s">
        <v>39</v>
      </c>
      <c r="AG193" s="352"/>
      <c r="AH193" s="352"/>
      <c r="AI193" s="352"/>
      <c r="AJ193" s="352" t="s">
        <v>317</v>
      </c>
      <c r="AK193" s="352"/>
      <c r="AL193" s="352"/>
      <c r="AM193" s="352"/>
      <c r="AN193" s="352"/>
      <c r="AO193" s="352"/>
      <c r="AP193" s="403" t="s">
        <v>2345</v>
      </c>
      <c r="AQ193" s="403"/>
      <c r="AR193" s="403" t="s">
        <v>2390</v>
      </c>
      <c r="AS193" s="403"/>
    </row>
    <row r="194" spans="1:45" ht="10.5" customHeight="1">
      <c r="A194" s="343" t="s">
        <v>309</v>
      </c>
      <c r="B194" s="343"/>
      <c r="C194" s="343"/>
      <c r="D194" s="343"/>
      <c r="E194" s="348" t="s">
        <v>2057</v>
      </c>
      <c r="F194" s="348"/>
      <c r="G194" s="348"/>
      <c r="H194" s="343" t="s">
        <v>2058</v>
      </c>
      <c r="I194" s="343"/>
      <c r="J194" s="343"/>
      <c r="K194" s="343"/>
      <c r="L194" s="343"/>
      <c r="M194" s="343"/>
      <c r="N194" s="343"/>
      <c r="O194" s="343"/>
      <c r="P194" s="343"/>
      <c r="Q194" s="343"/>
      <c r="R194" s="343"/>
      <c r="S194" s="343"/>
      <c r="T194" s="343"/>
      <c r="U194" s="343"/>
      <c r="V194" s="343"/>
      <c r="W194" s="343"/>
      <c r="X194" s="343"/>
      <c r="Y194" s="343"/>
      <c r="Z194" s="352"/>
      <c r="AA194" s="352"/>
      <c r="AB194" s="352"/>
      <c r="AC194" s="352"/>
      <c r="AD194" s="352"/>
      <c r="AE194" s="352"/>
      <c r="AF194" s="352" t="s">
        <v>2422</v>
      </c>
      <c r="AG194" s="352"/>
      <c r="AH194" s="352"/>
      <c r="AI194" s="352"/>
      <c r="AJ194" s="352"/>
      <c r="AK194" s="352"/>
      <c r="AL194" s="352"/>
      <c r="AM194" s="352"/>
      <c r="AN194" s="352"/>
      <c r="AO194" s="352"/>
      <c r="AP194" s="403" t="s">
        <v>2345</v>
      </c>
      <c r="AQ194" s="403"/>
      <c r="AR194" s="403"/>
      <c r="AS194" s="403"/>
    </row>
    <row r="195" spans="1:45" ht="13.5" thickBot="1">
      <c r="A195" s="404" t="s">
        <v>309</v>
      </c>
      <c r="B195" s="404"/>
      <c r="C195" s="404"/>
      <c r="D195" s="404"/>
      <c r="E195" s="404" t="s">
        <v>318</v>
      </c>
      <c r="F195" s="404"/>
      <c r="G195" s="404"/>
      <c r="H195" s="404"/>
      <c r="I195" s="404"/>
      <c r="J195" s="404"/>
      <c r="K195" s="404"/>
      <c r="L195" s="404"/>
      <c r="M195" s="404"/>
      <c r="N195" s="404"/>
      <c r="O195" s="404"/>
      <c r="P195" s="404"/>
      <c r="Q195" s="404"/>
      <c r="R195" s="404"/>
      <c r="S195" s="404"/>
      <c r="T195" s="404"/>
      <c r="U195" s="404"/>
      <c r="V195" s="404"/>
      <c r="W195" s="404"/>
      <c r="X195" s="404"/>
      <c r="Y195" s="404"/>
      <c r="Z195" s="405" t="s">
        <v>177</v>
      </c>
      <c r="AA195" s="405"/>
      <c r="AB195" s="405"/>
      <c r="AC195" s="405"/>
      <c r="AD195" s="405"/>
      <c r="AE195" s="405"/>
      <c r="AF195" s="405" t="s">
        <v>319</v>
      </c>
      <c r="AG195" s="405"/>
      <c r="AH195" s="405"/>
      <c r="AI195" s="405"/>
      <c r="AJ195" s="405" t="s">
        <v>320</v>
      </c>
      <c r="AK195" s="405"/>
      <c r="AL195" s="405"/>
      <c r="AM195" s="405"/>
      <c r="AN195" s="405"/>
      <c r="AO195" s="405"/>
      <c r="AP195" s="406" t="s">
        <v>321</v>
      </c>
      <c r="AQ195" s="406"/>
      <c r="AR195" s="406" t="s">
        <v>322</v>
      </c>
      <c r="AS195" s="406"/>
    </row>
    <row r="196" spans="1:45" ht="10.5" customHeight="1">
      <c r="A196" s="354" t="s">
        <v>2381</v>
      </c>
      <c r="B196" s="354"/>
      <c r="C196" s="354"/>
      <c r="D196" s="354"/>
      <c r="E196" s="407" t="s">
        <v>1804</v>
      </c>
      <c r="F196" s="407"/>
      <c r="G196" s="407"/>
      <c r="H196" s="354" t="s">
        <v>1805</v>
      </c>
      <c r="I196" s="354"/>
      <c r="J196" s="354"/>
      <c r="K196" s="354"/>
      <c r="L196" s="354"/>
      <c r="M196" s="354"/>
      <c r="N196" s="354"/>
      <c r="O196" s="354"/>
      <c r="P196" s="354"/>
      <c r="Q196" s="354"/>
      <c r="R196" s="354"/>
      <c r="S196" s="354"/>
      <c r="T196" s="354"/>
      <c r="U196" s="354"/>
      <c r="V196" s="354"/>
      <c r="W196" s="354"/>
      <c r="X196" s="354"/>
      <c r="Y196" s="354"/>
      <c r="Z196" s="355" t="s">
        <v>323</v>
      </c>
      <c r="AA196" s="355"/>
      <c r="AB196" s="355"/>
      <c r="AC196" s="355"/>
      <c r="AD196" s="355"/>
      <c r="AE196" s="355"/>
      <c r="AF196" s="355" t="s">
        <v>324</v>
      </c>
      <c r="AG196" s="355"/>
      <c r="AH196" s="355"/>
      <c r="AI196" s="355"/>
      <c r="AJ196" s="355" t="s">
        <v>325</v>
      </c>
      <c r="AK196" s="355"/>
      <c r="AL196" s="355"/>
      <c r="AM196" s="355"/>
      <c r="AN196" s="355"/>
      <c r="AO196" s="355"/>
      <c r="AP196" s="408" t="s">
        <v>326</v>
      </c>
      <c r="AQ196" s="408"/>
      <c r="AR196" s="408" t="s">
        <v>327</v>
      </c>
      <c r="AS196" s="408"/>
    </row>
    <row r="197" spans="1:45" ht="10.5" customHeight="1">
      <c r="A197" s="343" t="s">
        <v>2381</v>
      </c>
      <c r="B197" s="343"/>
      <c r="C197" s="343"/>
      <c r="D197" s="343"/>
      <c r="E197" s="348" t="s">
        <v>1825</v>
      </c>
      <c r="F197" s="348"/>
      <c r="G197" s="348"/>
      <c r="H197" s="343" t="s">
        <v>2299</v>
      </c>
      <c r="I197" s="343"/>
      <c r="J197" s="343"/>
      <c r="K197" s="343"/>
      <c r="L197" s="343"/>
      <c r="M197" s="343"/>
      <c r="N197" s="343"/>
      <c r="O197" s="343"/>
      <c r="P197" s="343"/>
      <c r="Q197" s="343"/>
      <c r="R197" s="343"/>
      <c r="S197" s="343"/>
      <c r="T197" s="343"/>
      <c r="U197" s="343"/>
      <c r="V197" s="343"/>
      <c r="W197" s="343"/>
      <c r="X197" s="343"/>
      <c r="Y197" s="343"/>
      <c r="Z197" s="352" t="s">
        <v>1947</v>
      </c>
      <c r="AA197" s="352"/>
      <c r="AB197" s="352"/>
      <c r="AC197" s="352"/>
      <c r="AD197" s="352"/>
      <c r="AE197" s="352"/>
      <c r="AF197" s="352" t="s">
        <v>328</v>
      </c>
      <c r="AG197" s="352"/>
      <c r="AH197" s="352"/>
      <c r="AI197" s="352"/>
      <c r="AJ197" s="352" t="s">
        <v>329</v>
      </c>
      <c r="AK197" s="352"/>
      <c r="AL197" s="352"/>
      <c r="AM197" s="352"/>
      <c r="AN197" s="352"/>
      <c r="AO197" s="352"/>
      <c r="AP197" s="403" t="s">
        <v>330</v>
      </c>
      <c r="AQ197" s="403"/>
      <c r="AR197" s="403" t="s">
        <v>331</v>
      </c>
      <c r="AS197" s="403"/>
    </row>
    <row r="198" spans="1:45" ht="10.5" customHeight="1">
      <c r="A198" s="343" t="s">
        <v>2381</v>
      </c>
      <c r="B198" s="343"/>
      <c r="C198" s="343"/>
      <c r="D198" s="343"/>
      <c r="E198" s="348" t="s">
        <v>1830</v>
      </c>
      <c r="F198" s="348"/>
      <c r="G198" s="348"/>
      <c r="H198" s="343" t="s">
        <v>2300</v>
      </c>
      <c r="I198" s="343"/>
      <c r="J198" s="343"/>
      <c r="K198" s="343"/>
      <c r="L198" s="343"/>
      <c r="M198" s="343"/>
      <c r="N198" s="343"/>
      <c r="O198" s="343"/>
      <c r="P198" s="343"/>
      <c r="Q198" s="343"/>
      <c r="R198" s="343"/>
      <c r="S198" s="343"/>
      <c r="T198" s="343"/>
      <c r="U198" s="343"/>
      <c r="V198" s="343"/>
      <c r="W198" s="343"/>
      <c r="X198" s="343"/>
      <c r="Y198" s="343"/>
      <c r="Z198" s="352" t="s">
        <v>332</v>
      </c>
      <c r="AA198" s="352"/>
      <c r="AB198" s="352"/>
      <c r="AC198" s="352"/>
      <c r="AD198" s="352"/>
      <c r="AE198" s="352"/>
      <c r="AF198" s="352" t="s">
        <v>333</v>
      </c>
      <c r="AG198" s="352"/>
      <c r="AH198" s="352"/>
      <c r="AI198" s="352"/>
      <c r="AJ198" s="352" t="s">
        <v>334</v>
      </c>
      <c r="AK198" s="352"/>
      <c r="AL198" s="352"/>
      <c r="AM198" s="352"/>
      <c r="AN198" s="352"/>
      <c r="AO198" s="352"/>
      <c r="AP198" s="403" t="s">
        <v>335</v>
      </c>
      <c r="AQ198" s="403"/>
      <c r="AR198" s="403" t="s">
        <v>336</v>
      </c>
      <c r="AS198" s="403"/>
    </row>
    <row r="199" spans="1:45" ht="10.5" customHeight="1">
      <c r="A199" s="343" t="s">
        <v>2381</v>
      </c>
      <c r="B199" s="343"/>
      <c r="C199" s="343"/>
      <c r="D199" s="343"/>
      <c r="E199" s="348" t="s">
        <v>1835</v>
      </c>
      <c r="F199" s="348"/>
      <c r="G199" s="348"/>
      <c r="H199" s="343" t="s">
        <v>1836</v>
      </c>
      <c r="I199" s="343"/>
      <c r="J199" s="343"/>
      <c r="K199" s="343"/>
      <c r="L199" s="343"/>
      <c r="M199" s="343"/>
      <c r="N199" s="343"/>
      <c r="O199" s="343"/>
      <c r="P199" s="343"/>
      <c r="Q199" s="343"/>
      <c r="R199" s="343"/>
      <c r="S199" s="343"/>
      <c r="T199" s="343"/>
      <c r="U199" s="343"/>
      <c r="V199" s="343"/>
      <c r="W199" s="343"/>
      <c r="X199" s="343"/>
      <c r="Y199" s="343"/>
      <c r="Z199" s="352" t="s">
        <v>337</v>
      </c>
      <c r="AA199" s="352"/>
      <c r="AB199" s="352"/>
      <c r="AC199" s="352"/>
      <c r="AD199" s="352"/>
      <c r="AE199" s="352"/>
      <c r="AF199" s="352" t="s">
        <v>337</v>
      </c>
      <c r="AG199" s="352"/>
      <c r="AH199" s="352"/>
      <c r="AI199" s="352"/>
      <c r="AJ199" s="352" t="s">
        <v>338</v>
      </c>
      <c r="AK199" s="352"/>
      <c r="AL199" s="352"/>
      <c r="AM199" s="352"/>
      <c r="AN199" s="352"/>
      <c r="AO199" s="352"/>
      <c r="AP199" s="403" t="s">
        <v>339</v>
      </c>
      <c r="AQ199" s="403"/>
      <c r="AR199" s="403" t="s">
        <v>339</v>
      </c>
      <c r="AS199" s="403"/>
    </row>
    <row r="200" spans="1:45" ht="10.5" customHeight="1">
      <c r="A200" s="343" t="s">
        <v>2381</v>
      </c>
      <c r="B200" s="343"/>
      <c r="C200" s="343"/>
      <c r="D200" s="343"/>
      <c r="E200" s="348" t="s">
        <v>1850</v>
      </c>
      <c r="F200" s="348"/>
      <c r="G200" s="348"/>
      <c r="H200" s="343" t="s">
        <v>1851</v>
      </c>
      <c r="I200" s="343"/>
      <c r="J200" s="343"/>
      <c r="K200" s="343"/>
      <c r="L200" s="343"/>
      <c r="M200" s="343"/>
      <c r="N200" s="343"/>
      <c r="O200" s="343"/>
      <c r="P200" s="343"/>
      <c r="Q200" s="343"/>
      <c r="R200" s="343"/>
      <c r="S200" s="343"/>
      <c r="T200" s="343"/>
      <c r="U200" s="343"/>
      <c r="V200" s="343"/>
      <c r="W200" s="343"/>
      <c r="X200" s="343"/>
      <c r="Y200" s="343"/>
      <c r="Z200" s="352" t="s">
        <v>1853</v>
      </c>
      <c r="AA200" s="352"/>
      <c r="AB200" s="352"/>
      <c r="AC200" s="352"/>
      <c r="AD200" s="352"/>
      <c r="AE200" s="352"/>
      <c r="AF200" s="352" t="s">
        <v>1853</v>
      </c>
      <c r="AG200" s="352"/>
      <c r="AH200" s="352"/>
      <c r="AI200" s="352"/>
      <c r="AJ200" s="352" t="s">
        <v>1854</v>
      </c>
      <c r="AK200" s="352"/>
      <c r="AL200" s="352"/>
      <c r="AM200" s="352"/>
      <c r="AN200" s="352"/>
      <c r="AO200" s="352"/>
      <c r="AP200" s="403" t="s">
        <v>340</v>
      </c>
      <c r="AQ200" s="403"/>
      <c r="AR200" s="403" t="s">
        <v>340</v>
      </c>
      <c r="AS200" s="403"/>
    </row>
    <row r="201" spans="1:45" ht="10.5" customHeight="1">
      <c r="A201" s="343" t="s">
        <v>2381</v>
      </c>
      <c r="B201" s="343"/>
      <c r="C201" s="343"/>
      <c r="D201" s="343"/>
      <c r="E201" s="348" t="s">
        <v>1855</v>
      </c>
      <c r="F201" s="348"/>
      <c r="G201" s="348"/>
      <c r="H201" s="343" t="s">
        <v>1856</v>
      </c>
      <c r="I201" s="343"/>
      <c r="J201" s="343"/>
      <c r="K201" s="343"/>
      <c r="L201" s="343"/>
      <c r="M201" s="343"/>
      <c r="N201" s="343"/>
      <c r="O201" s="343"/>
      <c r="P201" s="343"/>
      <c r="Q201" s="343"/>
      <c r="R201" s="343"/>
      <c r="S201" s="343"/>
      <c r="T201" s="343"/>
      <c r="U201" s="343"/>
      <c r="V201" s="343"/>
      <c r="W201" s="343"/>
      <c r="X201" s="343"/>
      <c r="Y201" s="343"/>
      <c r="Z201" s="352"/>
      <c r="AA201" s="352"/>
      <c r="AB201" s="352"/>
      <c r="AC201" s="352"/>
      <c r="AD201" s="352"/>
      <c r="AE201" s="352"/>
      <c r="AF201" s="352"/>
      <c r="AG201" s="352"/>
      <c r="AH201" s="352"/>
      <c r="AI201" s="352"/>
      <c r="AJ201" s="352" t="s">
        <v>341</v>
      </c>
      <c r="AK201" s="352"/>
      <c r="AL201" s="352"/>
      <c r="AM201" s="352"/>
      <c r="AN201" s="352"/>
      <c r="AO201" s="352"/>
      <c r="AP201" s="403" t="s">
        <v>2345</v>
      </c>
      <c r="AQ201" s="403"/>
      <c r="AR201" s="403" t="s">
        <v>2345</v>
      </c>
      <c r="AS201" s="403"/>
    </row>
    <row r="202" spans="1:45" ht="10.5" customHeight="1">
      <c r="A202" s="343" t="s">
        <v>2381</v>
      </c>
      <c r="B202" s="343"/>
      <c r="C202" s="343"/>
      <c r="D202" s="343"/>
      <c r="E202" s="348" t="s">
        <v>1860</v>
      </c>
      <c r="F202" s="348"/>
      <c r="G202" s="348"/>
      <c r="H202" s="343" t="s">
        <v>1861</v>
      </c>
      <c r="I202" s="343"/>
      <c r="J202" s="343"/>
      <c r="K202" s="343"/>
      <c r="L202" s="343"/>
      <c r="M202" s="343"/>
      <c r="N202" s="343"/>
      <c r="O202" s="343"/>
      <c r="P202" s="343"/>
      <c r="Q202" s="343"/>
      <c r="R202" s="343"/>
      <c r="S202" s="343"/>
      <c r="T202" s="343"/>
      <c r="U202" s="343"/>
      <c r="V202" s="343"/>
      <c r="W202" s="343"/>
      <c r="X202" s="343"/>
      <c r="Y202" s="343"/>
      <c r="Z202" s="352" t="s">
        <v>122</v>
      </c>
      <c r="AA202" s="352"/>
      <c r="AB202" s="352"/>
      <c r="AC202" s="352"/>
      <c r="AD202" s="352"/>
      <c r="AE202" s="352"/>
      <c r="AF202" s="352" t="s">
        <v>342</v>
      </c>
      <c r="AG202" s="352"/>
      <c r="AH202" s="352"/>
      <c r="AI202" s="352"/>
      <c r="AJ202" s="352" t="s">
        <v>343</v>
      </c>
      <c r="AK202" s="352"/>
      <c r="AL202" s="352"/>
      <c r="AM202" s="352"/>
      <c r="AN202" s="352"/>
      <c r="AO202" s="352"/>
      <c r="AP202" s="403" t="s">
        <v>344</v>
      </c>
      <c r="AQ202" s="403"/>
      <c r="AR202" s="403" t="s">
        <v>345</v>
      </c>
      <c r="AS202" s="403"/>
    </row>
    <row r="203" spans="1:45" ht="10.5" customHeight="1">
      <c r="A203" s="343" t="s">
        <v>2381</v>
      </c>
      <c r="B203" s="343"/>
      <c r="C203" s="343"/>
      <c r="D203" s="343"/>
      <c r="E203" s="348" t="s">
        <v>1865</v>
      </c>
      <c r="F203" s="348"/>
      <c r="G203" s="348"/>
      <c r="H203" s="343" t="s">
        <v>2304</v>
      </c>
      <c r="I203" s="343"/>
      <c r="J203" s="343"/>
      <c r="K203" s="343"/>
      <c r="L203" s="343"/>
      <c r="M203" s="343"/>
      <c r="N203" s="343"/>
      <c r="O203" s="343"/>
      <c r="P203" s="343"/>
      <c r="Q203" s="343"/>
      <c r="R203" s="343"/>
      <c r="S203" s="343"/>
      <c r="T203" s="343"/>
      <c r="U203" s="343"/>
      <c r="V203" s="343"/>
      <c r="W203" s="343"/>
      <c r="X203" s="343"/>
      <c r="Y203" s="343"/>
      <c r="Z203" s="352" t="s">
        <v>142</v>
      </c>
      <c r="AA203" s="352"/>
      <c r="AB203" s="352"/>
      <c r="AC203" s="352"/>
      <c r="AD203" s="352"/>
      <c r="AE203" s="352"/>
      <c r="AF203" s="352" t="s">
        <v>2422</v>
      </c>
      <c r="AG203" s="352"/>
      <c r="AH203" s="352"/>
      <c r="AI203" s="352"/>
      <c r="AJ203" s="352" t="s">
        <v>346</v>
      </c>
      <c r="AK203" s="352"/>
      <c r="AL203" s="352"/>
      <c r="AM203" s="352"/>
      <c r="AN203" s="352"/>
      <c r="AO203" s="352"/>
      <c r="AP203" s="403" t="s">
        <v>347</v>
      </c>
      <c r="AQ203" s="403"/>
      <c r="AR203" s="403" t="s">
        <v>348</v>
      </c>
      <c r="AS203" s="403"/>
    </row>
    <row r="204" spans="1:45" ht="10.5" customHeight="1">
      <c r="A204" s="343" t="s">
        <v>2381</v>
      </c>
      <c r="B204" s="343"/>
      <c r="C204" s="343"/>
      <c r="D204" s="343"/>
      <c r="E204" s="348" t="s">
        <v>1875</v>
      </c>
      <c r="F204" s="348"/>
      <c r="G204" s="348"/>
      <c r="H204" s="343" t="s">
        <v>1876</v>
      </c>
      <c r="I204" s="343"/>
      <c r="J204" s="343"/>
      <c r="K204" s="343"/>
      <c r="L204" s="343"/>
      <c r="M204" s="343"/>
      <c r="N204" s="343"/>
      <c r="O204" s="343"/>
      <c r="P204" s="343"/>
      <c r="Q204" s="343"/>
      <c r="R204" s="343"/>
      <c r="S204" s="343"/>
      <c r="T204" s="343"/>
      <c r="U204" s="343"/>
      <c r="V204" s="343"/>
      <c r="W204" s="343"/>
      <c r="X204" s="343"/>
      <c r="Y204" s="343"/>
      <c r="Z204" s="352" t="s">
        <v>349</v>
      </c>
      <c r="AA204" s="352"/>
      <c r="AB204" s="352"/>
      <c r="AC204" s="352"/>
      <c r="AD204" s="352"/>
      <c r="AE204" s="352"/>
      <c r="AF204" s="352" t="s">
        <v>350</v>
      </c>
      <c r="AG204" s="352"/>
      <c r="AH204" s="352"/>
      <c r="AI204" s="352"/>
      <c r="AJ204" s="352" t="s">
        <v>351</v>
      </c>
      <c r="AK204" s="352"/>
      <c r="AL204" s="352"/>
      <c r="AM204" s="352"/>
      <c r="AN204" s="352"/>
      <c r="AO204" s="352"/>
      <c r="AP204" s="403" t="s">
        <v>168</v>
      </c>
      <c r="AQ204" s="403"/>
      <c r="AR204" s="403" t="s">
        <v>352</v>
      </c>
      <c r="AS204" s="403"/>
    </row>
    <row r="205" spans="1:45" ht="10.5" customHeight="1">
      <c r="A205" s="343" t="s">
        <v>2381</v>
      </c>
      <c r="B205" s="343"/>
      <c r="C205" s="343"/>
      <c r="D205" s="343"/>
      <c r="E205" s="348" t="s">
        <v>1880</v>
      </c>
      <c r="F205" s="348"/>
      <c r="G205" s="348"/>
      <c r="H205" s="343" t="s">
        <v>1881</v>
      </c>
      <c r="I205" s="343"/>
      <c r="J205" s="343"/>
      <c r="K205" s="343"/>
      <c r="L205" s="343"/>
      <c r="M205" s="343"/>
      <c r="N205" s="343"/>
      <c r="O205" s="343"/>
      <c r="P205" s="343"/>
      <c r="Q205" s="343"/>
      <c r="R205" s="343"/>
      <c r="S205" s="343"/>
      <c r="T205" s="343"/>
      <c r="U205" s="343"/>
      <c r="V205" s="343"/>
      <c r="W205" s="343"/>
      <c r="X205" s="343"/>
      <c r="Y205" s="343"/>
      <c r="Z205" s="352" t="s">
        <v>154</v>
      </c>
      <c r="AA205" s="352"/>
      <c r="AB205" s="352"/>
      <c r="AC205" s="352"/>
      <c r="AD205" s="352"/>
      <c r="AE205" s="352"/>
      <c r="AF205" s="352" t="s">
        <v>353</v>
      </c>
      <c r="AG205" s="352"/>
      <c r="AH205" s="352"/>
      <c r="AI205" s="352"/>
      <c r="AJ205" s="352" t="s">
        <v>354</v>
      </c>
      <c r="AK205" s="352"/>
      <c r="AL205" s="352"/>
      <c r="AM205" s="352"/>
      <c r="AN205" s="352"/>
      <c r="AO205" s="352"/>
      <c r="AP205" s="403" t="s">
        <v>355</v>
      </c>
      <c r="AQ205" s="403"/>
      <c r="AR205" s="403" t="s">
        <v>356</v>
      </c>
      <c r="AS205" s="403"/>
    </row>
    <row r="206" spans="1:45" ht="10.5" customHeight="1">
      <c r="A206" s="343" t="s">
        <v>2381</v>
      </c>
      <c r="B206" s="343"/>
      <c r="C206" s="343"/>
      <c r="D206" s="343"/>
      <c r="E206" s="348" t="s">
        <v>1885</v>
      </c>
      <c r="F206" s="348"/>
      <c r="G206" s="348"/>
      <c r="H206" s="343" t="s">
        <v>1886</v>
      </c>
      <c r="I206" s="343"/>
      <c r="J206" s="343"/>
      <c r="K206" s="343"/>
      <c r="L206" s="343"/>
      <c r="M206" s="343"/>
      <c r="N206" s="343"/>
      <c r="O206" s="343"/>
      <c r="P206" s="343"/>
      <c r="Q206" s="343"/>
      <c r="R206" s="343"/>
      <c r="S206" s="343"/>
      <c r="T206" s="343"/>
      <c r="U206" s="343"/>
      <c r="V206" s="343"/>
      <c r="W206" s="343"/>
      <c r="X206" s="343"/>
      <c r="Y206" s="343"/>
      <c r="Z206" s="352" t="s">
        <v>357</v>
      </c>
      <c r="AA206" s="352"/>
      <c r="AB206" s="352"/>
      <c r="AC206" s="352"/>
      <c r="AD206" s="352"/>
      <c r="AE206" s="352"/>
      <c r="AF206" s="352" t="s">
        <v>358</v>
      </c>
      <c r="AG206" s="352"/>
      <c r="AH206" s="352"/>
      <c r="AI206" s="352"/>
      <c r="AJ206" s="352" t="s">
        <v>359</v>
      </c>
      <c r="AK206" s="352"/>
      <c r="AL206" s="352"/>
      <c r="AM206" s="352"/>
      <c r="AN206" s="352"/>
      <c r="AO206" s="352"/>
      <c r="AP206" s="403" t="s">
        <v>360</v>
      </c>
      <c r="AQ206" s="403"/>
      <c r="AR206" s="403" t="s">
        <v>361</v>
      </c>
      <c r="AS206" s="403"/>
    </row>
    <row r="207" spans="1:45" ht="10.5" customHeight="1">
      <c r="A207" s="343" t="s">
        <v>2381</v>
      </c>
      <c r="B207" s="343"/>
      <c r="C207" s="343"/>
      <c r="D207" s="343"/>
      <c r="E207" s="348" t="s">
        <v>1890</v>
      </c>
      <c r="F207" s="348"/>
      <c r="G207" s="348"/>
      <c r="H207" s="343" t="s">
        <v>1891</v>
      </c>
      <c r="I207" s="343"/>
      <c r="J207" s="343"/>
      <c r="K207" s="343"/>
      <c r="L207" s="343"/>
      <c r="M207" s="343"/>
      <c r="N207" s="343"/>
      <c r="O207" s="343"/>
      <c r="P207" s="343"/>
      <c r="Q207" s="343"/>
      <c r="R207" s="343"/>
      <c r="S207" s="343"/>
      <c r="T207" s="343"/>
      <c r="U207" s="343"/>
      <c r="V207" s="343"/>
      <c r="W207" s="343"/>
      <c r="X207" s="343"/>
      <c r="Y207" s="343"/>
      <c r="Z207" s="352" t="s">
        <v>362</v>
      </c>
      <c r="AA207" s="352"/>
      <c r="AB207" s="352"/>
      <c r="AC207" s="352"/>
      <c r="AD207" s="352"/>
      <c r="AE207" s="352"/>
      <c r="AF207" s="352" t="s">
        <v>363</v>
      </c>
      <c r="AG207" s="352"/>
      <c r="AH207" s="352"/>
      <c r="AI207" s="352"/>
      <c r="AJ207" s="352" t="s">
        <v>364</v>
      </c>
      <c r="AK207" s="352"/>
      <c r="AL207" s="352"/>
      <c r="AM207" s="352"/>
      <c r="AN207" s="352"/>
      <c r="AO207" s="352"/>
      <c r="AP207" s="403" t="s">
        <v>365</v>
      </c>
      <c r="AQ207" s="403"/>
      <c r="AR207" s="403" t="s">
        <v>366</v>
      </c>
      <c r="AS207" s="403"/>
    </row>
    <row r="208" spans="1:45" ht="10.5" customHeight="1">
      <c r="A208" s="343" t="s">
        <v>2381</v>
      </c>
      <c r="B208" s="343"/>
      <c r="C208" s="343"/>
      <c r="D208" s="343"/>
      <c r="E208" s="348" t="s">
        <v>1900</v>
      </c>
      <c r="F208" s="348"/>
      <c r="G208" s="348"/>
      <c r="H208" s="343" t="s">
        <v>1901</v>
      </c>
      <c r="I208" s="343"/>
      <c r="J208" s="343"/>
      <c r="K208" s="343"/>
      <c r="L208" s="343"/>
      <c r="M208" s="343"/>
      <c r="N208" s="343"/>
      <c r="O208" s="343"/>
      <c r="P208" s="343"/>
      <c r="Q208" s="343"/>
      <c r="R208" s="343"/>
      <c r="S208" s="343"/>
      <c r="T208" s="343"/>
      <c r="U208" s="343"/>
      <c r="V208" s="343"/>
      <c r="W208" s="343"/>
      <c r="X208" s="343"/>
      <c r="Y208" s="343"/>
      <c r="Z208" s="352"/>
      <c r="AA208" s="352"/>
      <c r="AB208" s="352"/>
      <c r="AC208" s="352"/>
      <c r="AD208" s="352"/>
      <c r="AE208" s="352"/>
      <c r="AF208" s="352"/>
      <c r="AG208" s="352"/>
      <c r="AH208" s="352"/>
      <c r="AI208" s="352"/>
      <c r="AJ208" s="352" t="s">
        <v>367</v>
      </c>
      <c r="AK208" s="352"/>
      <c r="AL208" s="352"/>
      <c r="AM208" s="352"/>
      <c r="AN208" s="352"/>
      <c r="AO208" s="352"/>
      <c r="AP208" s="403" t="s">
        <v>2345</v>
      </c>
      <c r="AQ208" s="403"/>
      <c r="AR208" s="403" t="s">
        <v>2345</v>
      </c>
      <c r="AS208" s="403"/>
    </row>
    <row r="209" spans="1:45" ht="10.5" customHeight="1">
      <c r="A209" s="343" t="s">
        <v>2381</v>
      </c>
      <c r="B209" s="343"/>
      <c r="C209" s="343"/>
      <c r="D209" s="343"/>
      <c r="E209" s="348" t="s">
        <v>1905</v>
      </c>
      <c r="F209" s="348"/>
      <c r="G209" s="348"/>
      <c r="H209" s="343" t="s">
        <v>1906</v>
      </c>
      <c r="I209" s="343"/>
      <c r="J209" s="343"/>
      <c r="K209" s="343"/>
      <c r="L209" s="343"/>
      <c r="M209" s="343"/>
      <c r="N209" s="343"/>
      <c r="O209" s="343"/>
      <c r="P209" s="343"/>
      <c r="Q209" s="343"/>
      <c r="R209" s="343"/>
      <c r="S209" s="343"/>
      <c r="T209" s="343"/>
      <c r="U209" s="343"/>
      <c r="V209" s="343"/>
      <c r="W209" s="343"/>
      <c r="X209" s="343"/>
      <c r="Y209" s="343"/>
      <c r="Z209" s="352" t="s">
        <v>2429</v>
      </c>
      <c r="AA209" s="352"/>
      <c r="AB209" s="352"/>
      <c r="AC209" s="352"/>
      <c r="AD209" s="352"/>
      <c r="AE209" s="352"/>
      <c r="AF209" s="352" t="s">
        <v>1953</v>
      </c>
      <c r="AG209" s="352"/>
      <c r="AH209" s="352"/>
      <c r="AI209" s="352"/>
      <c r="AJ209" s="352" t="s">
        <v>368</v>
      </c>
      <c r="AK209" s="352"/>
      <c r="AL209" s="352"/>
      <c r="AM209" s="352"/>
      <c r="AN209" s="352"/>
      <c r="AO209" s="352"/>
      <c r="AP209" s="403" t="s">
        <v>369</v>
      </c>
      <c r="AQ209" s="403"/>
      <c r="AR209" s="403" t="s">
        <v>370</v>
      </c>
      <c r="AS209" s="403"/>
    </row>
    <row r="210" spans="1:45" ht="10.5" customHeight="1">
      <c r="A210" s="343" t="s">
        <v>2381</v>
      </c>
      <c r="B210" s="343"/>
      <c r="C210" s="343"/>
      <c r="D210" s="343"/>
      <c r="E210" s="348" t="s">
        <v>1910</v>
      </c>
      <c r="F210" s="348"/>
      <c r="G210" s="348"/>
      <c r="H210" s="343" t="s">
        <v>1911</v>
      </c>
      <c r="I210" s="343"/>
      <c r="J210" s="343"/>
      <c r="K210" s="343"/>
      <c r="L210" s="343"/>
      <c r="M210" s="343"/>
      <c r="N210" s="343"/>
      <c r="O210" s="343"/>
      <c r="P210" s="343"/>
      <c r="Q210" s="343"/>
      <c r="R210" s="343"/>
      <c r="S210" s="343"/>
      <c r="T210" s="343"/>
      <c r="U210" s="343"/>
      <c r="V210" s="343"/>
      <c r="W210" s="343"/>
      <c r="X210" s="343"/>
      <c r="Y210" s="343"/>
      <c r="Z210" s="352" t="s">
        <v>190</v>
      </c>
      <c r="AA210" s="352"/>
      <c r="AB210" s="352"/>
      <c r="AC210" s="352"/>
      <c r="AD210" s="352"/>
      <c r="AE210" s="352"/>
      <c r="AF210" s="352" t="s">
        <v>2015</v>
      </c>
      <c r="AG210" s="352"/>
      <c r="AH210" s="352"/>
      <c r="AI210" s="352"/>
      <c r="AJ210" s="352" t="s">
        <v>371</v>
      </c>
      <c r="AK210" s="352"/>
      <c r="AL210" s="352"/>
      <c r="AM210" s="352"/>
      <c r="AN210" s="352"/>
      <c r="AO210" s="352"/>
      <c r="AP210" s="403" t="s">
        <v>372</v>
      </c>
      <c r="AQ210" s="403"/>
      <c r="AR210" s="403" t="s">
        <v>373</v>
      </c>
      <c r="AS210" s="403"/>
    </row>
    <row r="211" spans="1:45" ht="10.5" customHeight="1">
      <c r="A211" s="343" t="s">
        <v>2381</v>
      </c>
      <c r="B211" s="343"/>
      <c r="C211" s="343"/>
      <c r="D211" s="343"/>
      <c r="E211" s="348" t="s">
        <v>1925</v>
      </c>
      <c r="F211" s="348"/>
      <c r="G211" s="348"/>
      <c r="H211" s="343" t="s">
        <v>1926</v>
      </c>
      <c r="I211" s="343"/>
      <c r="J211" s="343"/>
      <c r="K211" s="343"/>
      <c r="L211" s="343"/>
      <c r="M211" s="343"/>
      <c r="N211" s="343"/>
      <c r="O211" s="343"/>
      <c r="P211" s="343"/>
      <c r="Q211" s="343"/>
      <c r="R211" s="343"/>
      <c r="S211" s="343"/>
      <c r="T211" s="343"/>
      <c r="U211" s="343"/>
      <c r="V211" s="343"/>
      <c r="W211" s="343"/>
      <c r="X211" s="343"/>
      <c r="Y211" s="343"/>
      <c r="Z211" s="352" t="s">
        <v>374</v>
      </c>
      <c r="AA211" s="352"/>
      <c r="AB211" s="352"/>
      <c r="AC211" s="352"/>
      <c r="AD211" s="352"/>
      <c r="AE211" s="352"/>
      <c r="AF211" s="352" t="s">
        <v>375</v>
      </c>
      <c r="AG211" s="352"/>
      <c r="AH211" s="352"/>
      <c r="AI211" s="352"/>
      <c r="AJ211" s="352" t="s">
        <v>376</v>
      </c>
      <c r="AK211" s="352"/>
      <c r="AL211" s="352"/>
      <c r="AM211" s="352"/>
      <c r="AN211" s="352"/>
      <c r="AO211" s="352"/>
      <c r="AP211" s="403" t="s">
        <v>377</v>
      </c>
      <c r="AQ211" s="403"/>
      <c r="AR211" s="403" t="s">
        <v>378</v>
      </c>
      <c r="AS211" s="403"/>
    </row>
    <row r="212" spans="1:45" ht="10.5" customHeight="1">
      <c r="A212" s="343" t="s">
        <v>2381</v>
      </c>
      <c r="B212" s="343"/>
      <c r="C212" s="343"/>
      <c r="D212" s="343"/>
      <c r="E212" s="348" t="s">
        <v>1930</v>
      </c>
      <c r="F212" s="348"/>
      <c r="G212" s="348"/>
      <c r="H212" s="343" t="s">
        <v>1931</v>
      </c>
      <c r="I212" s="343"/>
      <c r="J212" s="343"/>
      <c r="K212" s="343"/>
      <c r="L212" s="343"/>
      <c r="M212" s="343"/>
      <c r="N212" s="343"/>
      <c r="O212" s="343"/>
      <c r="P212" s="343"/>
      <c r="Q212" s="343"/>
      <c r="R212" s="343"/>
      <c r="S212" s="343"/>
      <c r="T212" s="343"/>
      <c r="U212" s="343"/>
      <c r="V212" s="343"/>
      <c r="W212" s="343"/>
      <c r="X212" s="343"/>
      <c r="Y212" s="343"/>
      <c r="Z212" s="352" t="s">
        <v>379</v>
      </c>
      <c r="AA212" s="352"/>
      <c r="AB212" s="352"/>
      <c r="AC212" s="352"/>
      <c r="AD212" s="352"/>
      <c r="AE212" s="352"/>
      <c r="AF212" s="352" t="s">
        <v>380</v>
      </c>
      <c r="AG212" s="352"/>
      <c r="AH212" s="352"/>
      <c r="AI212" s="352"/>
      <c r="AJ212" s="352" t="s">
        <v>381</v>
      </c>
      <c r="AK212" s="352"/>
      <c r="AL212" s="352"/>
      <c r="AM212" s="352"/>
      <c r="AN212" s="352"/>
      <c r="AO212" s="352"/>
      <c r="AP212" s="403" t="s">
        <v>2344</v>
      </c>
      <c r="AQ212" s="403"/>
      <c r="AR212" s="403" t="s">
        <v>382</v>
      </c>
      <c r="AS212" s="403"/>
    </row>
    <row r="213" spans="1:45" ht="10.5" customHeight="1">
      <c r="A213" s="343" t="s">
        <v>2381</v>
      </c>
      <c r="B213" s="343"/>
      <c r="C213" s="343"/>
      <c r="D213" s="343"/>
      <c r="E213" s="348" t="s">
        <v>1940</v>
      </c>
      <c r="F213" s="348"/>
      <c r="G213" s="348"/>
      <c r="H213" s="343" t="s">
        <v>1941</v>
      </c>
      <c r="I213" s="343"/>
      <c r="J213" s="343"/>
      <c r="K213" s="343"/>
      <c r="L213" s="343"/>
      <c r="M213" s="343"/>
      <c r="N213" s="343"/>
      <c r="O213" s="343"/>
      <c r="P213" s="343"/>
      <c r="Q213" s="343"/>
      <c r="R213" s="343"/>
      <c r="S213" s="343"/>
      <c r="T213" s="343"/>
      <c r="U213" s="343"/>
      <c r="V213" s="343"/>
      <c r="W213" s="343"/>
      <c r="X213" s="343"/>
      <c r="Y213" s="343"/>
      <c r="Z213" s="352" t="s">
        <v>383</v>
      </c>
      <c r="AA213" s="352"/>
      <c r="AB213" s="352"/>
      <c r="AC213" s="352"/>
      <c r="AD213" s="352"/>
      <c r="AE213" s="352"/>
      <c r="AF213" s="352" t="s">
        <v>384</v>
      </c>
      <c r="AG213" s="352"/>
      <c r="AH213" s="352"/>
      <c r="AI213" s="352"/>
      <c r="AJ213" s="352" t="s">
        <v>385</v>
      </c>
      <c r="AK213" s="352"/>
      <c r="AL213" s="352"/>
      <c r="AM213" s="352"/>
      <c r="AN213" s="352"/>
      <c r="AO213" s="352"/>
      <c r="AP213" s="403" t="s">
        <v>386</v>
      </c>
      <c r="AQ213" s="403"/>
      <c r="AR213" s="403" t="s">
        <v>387</v>
      </c>
      <c r="AS213" s="403"/>
    </row>
    <row r="214" spans="1:45" ht="10.5" customHeight="1">
      <c r="A214" s="343" t="s">
        <v>2381</v>
      </c>
      <c r="B214" s="343"/>
      <c r="C214" s="343"/>
      <c r="D214" s="343"/>
      <c r="E214" s="348" t="s">
        <v>2013</v>
      </c>
      <c r="F214" s="348"/>
      <c r="G214" s="348"/>
      <c r="H214" s="343" t="s">
        <v>2014</v>
      </c>
      <c r="I214" s="343"/>
      <c r="J214" s="343"/>
      <c r="K214" s="343"/>
      <c r="L214" s="343"/>
      <c r="M214" s="343"/>
      <c r="N214" s="343"/>
      <c r="O214" s="343"/>
      <c r="P214" s="343"/>
      <c r="Q214" s="343"/>
      <c r="R214" s="343"/>
      <c r="S214" s="343"/>
      <c r="T214" s="343"/>
      <c r="U214" s="343"/>
      <c r="V214" s="343"/>
      <c r="W214" s="343"/>
      <c r="X214" s="343"/>
      <c r="Y214" s="343"/>
      <c r="Z214" s="352"/>
      <c r="AA214" s="352"/>
      <c r="AB214" s="352"/>
      <c r="AC214" s="352"/>
      <c r="AD214" s="352"/>
      <c r="AE214" s="352"/>
      <c r="AF214" s="352"/>
      <c r="AG214" s="352"/>
      <c r="AH214" s="352"/>
      <c r="AI214" s="352"/>
      <c r="AJ214" s="352" t="s">
        <v>388</v>
      </c>
      <c r="AK214" s="352"/>
      <c r="AL214" s="352"/>
      <c r="AM214" s="352"/>
      <c r="AN214" s="352"/>
      <c r="AO214" s="352"/>
      <c r="AP214" s="403" t="s">
        <v>2345</v>
      </c>
      <c r="AQ214" s="403"/>
      <c r="AR214" s="403" t="s">
        <v>2345</v>
      </c>
      <c r="AS214" s="403"/>
    </row>
    <row r="215" spans="1:45" ht="10.5" customHeight="1">
      <c r="A215" s="343" t="s">
        <v>2381</v>
      </c>
      <c r="B215" s="343"/>
      <c r="C215" s="343"/>
      <c r="D215" s="343"/>
      <c r="E215" s="348" t="s">
        <v>2039</v>
      </c>
      <c r="F215" s="348"/>
      <c r="G215" s="348"/>
      <c r="H215" s="343" t="s">
        <v>2040</v>
      </c>
      <c r="I215" s="343"/>
      <c r="J215" s="343"/>
      <c r="K215" s="343"/>
      <c r="L215" s="343"/>
      <c r="M215" s="343"/>
      <c r="N215" s="343"/>
      <c r="O215" s="343"/>
      <c r="P215" s="343"/>
      <c r="Q215" s="343"/>
      <c r="R215" s="343"/>
      <c r="S215" s="343"/>
      <c r="T215" s="343"/>
      <c r="U215" s="343"/>
      <c r="V215" s="343"/>
      <c r="W215" s="343"/>
      <c r="X215" s="343"/>
      <c r="Y215" s="343"/>
      <c r="Z215" s="352"/>
      <c r="AA215" s="352"/>
      <c r="AB215" s="352"/>
      <c r="AC215" s="352"/>
      <c r="AD215" s="352"/>
      <c r="AE215" s="352"/>
      <c r="AF215" s="352" t="s">
        <v>39</v>
      </c>
      <c r="AG215" s="352"/>
      <c r="AH215" s="352"/>
      <c r="AI215" s="352"/>
      <c r="AJ215" s="352" t="s">
        <v>389</v>
      </c>
      <c r="AK215" s="352"/>
      <c r="AL215" s="352"/>
      <c r="AM215" s="352"/>
      <c r="AN215" s="352"/>
      <c r="AO215" s="352"/>
      <c r="AP215" s="403" t="s">
        <v>2345</v>
      </c>
      <c r="AQ215" s="403"/>
      <c r="AR215" s="403" t="s">
        <v>390</v>
      </c>
      <c r="AS215" s="403"/>
    </row>
    <row r="216" spans="1:45" ht="10.5" customHeight="1">
      <c r="A216" s="343" t="s">
        <v>2381</v>
      </c>
      <c r="B216" s="343"/>
      <c r="C216" s="343"/>
      <c r="D216" s="343"/>
      <c r="E216" s="348" t="s">
        <v>2080</v>
      </c>
      <c r="F216" s="348"/>
      <c r="G216" s="348"/>
      <c r="H216" s="343" t="s">
        <v>2081</v>
      </c>
      <c r="I216" s="343"/>
      <c r="J216" s="343"/>
      <c r="K216" s="343"/>
      <c r="L216" s="343"/>
      <c r="M216" s="343"/>
      <c r="N216" s="343"/>
      <c r="O216" s="343"/>
      <c r="P216" s="343"/>
      <c r="Q216" s="343"/>
      <c r="R216" s="343"/>
      <c r="S216" s="343"/>
      <c r="T216" s="343"/>
      <c r="U216" s="343"/>
      <c r="V216" s="343"/>
      <c r="W216" s="343"/>
      <c r="X216" s="343"/>
      <c r="Y216" s="343"/>
      <c r="Z216" s="352"/>
      <c r="AA216" s="352"/>
      <c r="AB216" s="352"/>
      <c r="AC216" s="352"/>
      <c r="AD216" s="352"/>
      <c r="AE216" s="352"/>
      <c r="AF216" s="352" t="s">
        <v>391</v>
      </c>
      <c r="AG216" s="352"/>
      <c r="AH216" s="352"/>
      <c r="AI216" s="352"/>
      <c r="AJ216" s="352" t="s">
        <v>392</v>
      </c>
      <c r="AK216" s="352"/>
      <c r="AL216" s="352"/>
      <c r="AM216" s="352"/>
      <c r="AN216" s="352"/>
      <c r="AO216" s="352"/>
      <c r="AP216" s="403" t="s">
        <v>2345</v>
      </c>
      <c r="AQ216" s="403"/>
      <c r="AR216" s="403" t="s">
        <v>393</v>
      </c>
      <c r="AS216" s="403"/>
    </row>
    <row r="217" spans="1:45" ht="13.5" thickBot="1">
      <c r="A217" s="404" t="s">
        <v>2381</v>
      </c>
      <c r="B217" s="404"/>
      <c r="C217" s="404"/>
      <c r="D217" s="404"/>
      <c r="E217" s="404" t="s">
        <v>2385</v>
      </c>
      <c r="F217" s="404"/>
      <c r="G217" s="404"/>
      <c r="H217" s="404"/>
      <c r="I217" s="404"/>
      <c r="J217" s="404"/>
      <c r="K217" s="404"/>
      <c r="L217" s="404"/>
      <c r="M217" s="404"/>
      <c r="N217" s="404"/>
      <c r="O217" s="404"/>
      <c r="P217" s="404"/>
      <c r="Q217" s="404"/>
      <c r="R217" s="404"/>
      <c r="S217" s="404"/>
      <c r="T217" s="404"/>
      <c r="U217" s="404"/>
      <c r="V217" s="404"/>
      <c r="W217" s="404"/>
      <c r="X217" s="404"/>
      <c r="Y217" s="404"/>
      <c r="Z217" s="405" t="s">
        <v>394</v>
      </c>
      <c r="AA217" s="405"/>
      <c r="AB217" s="405"/>
      <c r="AC217" s="405"/>
      <c r="AD217" s="405"/>
      <c r="AE217" s="405"/>
      <c r="AF217" s="405" t="s">
        <v>395</v>
      </c>
      <c r="AG217" s="405"/>
      <c r="AH217" s="405"/>
      <c r="AI217" s="405"/>
      <c r="AJ217" s="405" t="s">
        <v>396</v>
      </c>
      <c r="AK217" s="405"/>
      <c r="AL217" s="405"/>
      <c r="AM217" s="405"/>
      <c r="AN217" s="405"/>
      <c r="AO217" s="405"/>
      <c r="AP217" s="406" t="s">
        <v>397</v>
      </c>
      <c r="AQ217" s="406"/>
      <c r="AR217" s="406" t="s">
        <v>398</v>
      </c>
      <c r="AS217" s="406"/>
    </row>
    <row r="218" spans="1:45" ht="12.75">
      <c r="A218" s="350" t="s">
        <v>2330</v>
      </c>
      <c r="B218" s="350"/>
      <c r="C218" s="350"/>
      <c r="D218" s="350"/>
      <c r="E218" s="350" t="s">
        <v>2287</v>
      </c>
      <c r="F218" s="350"/>
      <c r="G218" s="350"/>
      <c r="H218" s="350" t="s">
        <v>1574</v>
      </c>
      <c r="I218" s="350"/>
      <c r="J218" s="350"/>
      <c r="K218" s="350"/>
      <c r="L218" s="350"/>
      <c r="M218" s="350"/>
      <c r="N218" s="350"/>
      <c r="O218" s="350"/>
      <c r="P218" s="350"/>
      <c r="Q218" s="350"/>
      <c r="R218" s="350"/>
      <c r="S218" s="350"/>
      <c r="T218" s="350"/>
      <c r="U218" s="350"/>
      <c r="V218" s="350"/>
      <c r="W218" s="350"/>
      <c r="X218" s="350"/>
      <c r="Y218" s="350"/>
      <c r="Z218" s="351" t="s">
        <v>1575</v>
      </c>
      <c r="AA218" s="351"/>
      <c r="AB218" s="351"/>
      <c r="AC218" s="351"/>
      <c r="AD218" s="351"/>
      <c r="AE218" s="351"/>
      <c r="AF218" s="351" t="s">
        <v>1576</v>
      </c>
      <c r="AG218" s="351"/>
      <c r="AH218" s="351"/>
      <c r="AI218" s="351"/>
      <c r="AJ218" s="351" t="s">
        <v>2331</v>
      </c>
      <c r="AK218" s="351"/>
      <c r="AL218" s="351"/>
      <c r="AM218" s="351"/>
      <c r="AN218" s="351"/>
      <c r="AO218" s="351"/>
      <c r="AP218" s="351" t="s">
        <v>2332</v>
      </c>
      <c r="AQ218" s="351"/>
      <c r="AR218" s="351" t="s">
        <v>2333</v>
      </c>
      <c r="AS218" s="351"/>
    </row>
    <row r="219" spans="1:45" ht="9.75" customHeight="1" thickBot="1">
      <c r="A219" s="398" t="s">
        <v>2334</v>
      </c>
      <c r="B219" s="398"/>
      <c r="C219" s="398"/>
      <c r="D219" s="398"/>
      <c r="E219" s="398" t="s">
        <v>2335</v>
      </c>
      <c r="F219" s="398"/>
      <c r="G219" s="398"/>
      <c r="H219" s="399"/>
      <c r="I219" s="399"/>
      <c r="J219" s="399"/>
      <c r="K219" s="399"/>
      <c r="L219" s="399"/>
      <c r="M219" s="399"/>
      <c r="N219" s="399"/>
      <c r="O219" s="399"/>
      <c r="P219" s="399"/>
      <c r="Q219" s="399"/>
      <c r="R219" s="399"/>
      <c r="S219" s="399"/>
      <c r="T219" s="399"/>
      <c r="U219" s="399"/>
      <c r="V219" s="399"/>
      <c r="W219" s="399"/>
      <c r="X219" s="399"/>
      <c r="Y219" s="399"/>
      <c r="Z219" s="399" t="s">
        <v>1659</v>
      </c>
      <c r="AA219" s="399"/>
      <c r="AB219" s="399"/>
      <c r="AC219" s="399"/>
      <c r="AD219" s="399"/>
      <c r="AE219" s="399"/>
      <c r="AF219" s="399" t="s">
        <v>1729</v>
      </c>
      <c r="AG219" s="399"/>
      <c r="AH219" s="399"/>
      <c r="AI219" s="399"/>
      <c r="AJ219" s="399" t="s">
        <v>2336</v>
      </c>
      <c r="AK219" s="399"/>
      <c r="AL219" s="399"/>
      <c r="AM219" s="399"/>
      <c r="AN219" s="399"/>
      <c r="AO219" s="399"/>
      <c r="AP219" s="399"/>
      <c r="AQ219" s="399"/>
      <c r="AR219" s="399"/>
      <c r="AS219" s="399"/>
    </row>
    <row r="220" spans="1:45" ht="4.5" customHeight="1" thickBot="1">
      <c r="A220" s="400"/>
      <c r="B220" s="400"/>
      <c r="C220" s="400"/>
      <c r="D220" s="400"/>
      <c r="E220" s="400"/>
      <c r="F220" s="400"/>
      <c r="G220" s="400"/>
      <c r="H220" s="400"/>
      <c r="I220" s="400"/>
      <c r="J220" s="400"/>
      <c r="K220" s="400"/>
      <c r="L220" s="400"/>
      <c r="M220" s="400"/>
      <c r="N220" s="400"/>
      <c r="O220" s="400"/>
      <c r="P220" s="400"/>
      <c r="Q220" s="400"/>
      <c r="R220" s="400"/>
      <c r="S220" s="400"/>
      <c r="T220" s="400"/>
      <c r="U220" s="400"/>
      <c r="V220" s="400"/>
      <c r="W220" s="400"/>
      <c r="X220" s="400"/>
      <c r="Y220" s="400"/>
      <c r="Z220" s="401"/>
      <c r="AA220" s="401"/>
      <c r="AB220" s="401"/>
      <c r="AC220" s="401"/>
      <c r="AD220" s="401"/>
      <c r="AE220" s="401"/>
      <c r="AF220" s="401"/>
      <c r="AG220" s="401"/>
      <c r="AH220" s="401"/>
      <c r="AI220" s="401"/>
      <c r="AJ220" s="401"/>
      <c r="AK220" s="401"/>
      <c r="AL220" s="401"/>
      <c r="AM220" s="401"/>
      <c r="AN220" s="401"/>
      <c r="AO220" s="401"/>
      <c r="AP220" s="402"/>
      <c r="AQ220" s="402"/>
      <c r="AR220" s="402"/>
      <c r="AS220" s="402"/>
    </row>
    <row r="221" spans="1:45" ht="10.5" customHeight="1">
      <c r="A221" s="354" t="s">
        <v>399</v>
      </c>
      <c r="B221" s="354"/>
      <c r="C221" s="354"/>
      <c r="D221" s="354"/>
      <c r="E221" s="407" t="s">
        <v>1930</v>
      </c>
      <c r="F221" s="407"/>
      <c r="G221" s="407"/>
      <c r="H221" s="354" t="s">
        <v>1931</v>
      </c>
      <c r="I221" s="354"/>
      <c r="J221" s="354"/>
      <c r="K221" s="354"/>
      <c r="L221" s="354"/>
      <c r="M221" s="354"/>
      <c r="N221" s="354"/>
      <c r="O221" s="354"/>
      <c r="P221" s="354"/>
      <c r="Q221" s="354"/>
      <c r="R221" s="354"/>
      <c r="S221" s="354"/>
      <c r="T221" s="354"/>
      <c r="U221" s="354"/>
      <c r="V221" s="354"/>
      <c r="W221" s="354"/>
      <c r="X221" s="354"/>
      <c r="Y221" s="354"/>
      <c r="Z221" s="355"/>
      <c r="AA221" s="355"/>
      <c r="AB221" s="355"/>
      <c r="AC221" s="355"/>
      <c r="AD221" s="355"/>
      <c r="AE221" s="355"/>
      <c r="AF221" s="355" t="s">
        <v>110</v>
      </c>
      <c r="AG221" s="355"/>
      <c r="AH221" s="355"/>
      <c r="AI221" s="355"/>
      <c r="AJ221" s="355" t="s">
        <v>400</v>
      </c>
      <c r="AK221" s="355"/>
      <c r="AL221" s="355"/>
      <c r="AM221" s="355"/>
      <c r="AN221" s="355"/>
      <c r="AO221" s="355"/>
      <c r="AP221" s="408" t="s">
        <v>2345</v>
      </c>
      <c r="AQ221" s="408"/>
      <c r="AR221" s="408" t="s">
        <v>401</v>
      </c>
      <c r="AS221" s="408"/>
    </row>
    <row r="222" spans="1:45" ht="13.5" thickBot="1">
      <c r="A222" s="404" t="s">
        <v>399</v>
      </c>
      <c r="B222" s="404"/>
      <c r="C222" s="404"/>
      <c r="D222" s="404"/>
      <c r="E222" s="404" t="s">
        <v>402</v>
      </c>
      <c r="F222" s="404"/>
      <c r="G222" s="404"/>
      <c r="H222" s="404"/>
      <c r="I222" s="404"/>
      <c r="J222" s="404"/>
      <c r="K222" s="404"/>
      <c r="L222" s="404"/>
      <c r="M222" s="404"/>
      <c r="N222" s="404"/>
      <c r="O222" s="404"/>
      <c r="P222" s="404"/>
      <c r="Q222" s="404"/>
      <c r="R222" s="404"/>
      <c r="S222" s="404"/>
      <c r="T222" s="404"/>
      <c r="U222" s="404"/>
      <c r="V222" s="404"/>
      <c r="W222" s="404"/>
      <c r="X222" s="404"/>
      <c r="Y222" s="404"/>
      <c r="Z222" s="405"/>
      <c r="AA222" s="405"/>
      <c r="AB222" s="405"/>
      <c r="AC222" s="405"/>
      <c r="AD222" s="405"/>
      <c r="AE222" s="405"/>
      <c r="AF222" s="405" t="s">
        <v>110</v>
      </c>
      <c r="AG222" s="405"/>
      <c r="AH222" s="405"/>
      <c r="AI222" s="405"/>
      <c r="AJ222" s="405" t="s">
        <v>400</v>
      </c>
      <c r="AK222" s="405"/>
      <c r="AL222" s="405"/>
      <c r="AM222" s="405"/>
      <c r="AN222" s="405"/>
      <c r="AO222" s="405"/>
      <c r="AP222" s="406" t="s">
        <v>2345</v>
      </c>
      <c r="AQ222" s="406"/>
      <c r="AR222" s="406" t="s">
        <v>401</v>
      </c>
      <c r="AS222" s="406"/>
    </row>
    <row r="223" spans="1:45" ht="10.5" customHeight="1">
      <c r="A223" s="354" t="s">
        <v>403</v>
      </c>
      <c r="B223" s="354"/>
      <c r="C223" s="354"/>
      <c r="D223" s="354"/>
      <c r="E223" s="407" t="s">
        <v>1865</v>
      </c>
      <c r="F223" s="407"/>
      <c r="G223" s="407"/>
      <c r="H223" s="354" t="s">
        <v>2304</v>
      </c>
      <c r="I223" s="354"/>
      <c r="J223" s="354"/>
      <c r="K223" s="354"/>
      <c r="L223" s="354"/>
      <c r="M223" s="354"/>
      <c r="N223" s="354"/>
      <c r="O223" s="354"/>
      <c r="P223" s="354"/>
      <c r="Q223" s="354"/>
      <c r="R223" s="354"/>
      <c r="S223" s="354"/>
      <c r="T223" s="354"/>
      <c r="U223" s="354"/>
      <c r="V223" s="354"/>
      <c r="W223" s="354"/>
      <c r="X223" s="354"/>
      <c r="Y223" s="354"/>
      <c r="Z223" s="355" t="s">
        <v>190</v>
      </c>
      <c r="AA223" s="355"/>
      <c r="AB223" s="355"/>
      <c r="AC223" s="355"/>
      <c r="AD223" s="355"/>
      <c r="AE223" s="355"/>
      <c r="AF223" s="355" t="s">
        <v>110</v>
      </c>
      <c r="AG223" s="355"/>
      <c r="AH223" s="355"/>
      <c r="AI223" s="355"/>
      <c r="AJ223" s="355" t="s">
        <v>206</v>
      </c>
      <c r="AK223" s="355"/>
      <c r="AL223" s="355"/>
      <c r="AM223" s="355"/>
      <c r="AN223" s="355"/>
      <c r="AO223" s="355"/>
      <c r="AP223" s="408" t="s">
        <v>404</v>
      </c>
      <c r="AQ223" s="408"/>
      <c r="AR223" s="408" t="s">
        <v>405</v>
      </c>
      <c r="AS223" s="408"/>
    </row>
    <row r="224" spans="1:45" ht="10.5" customHeight="1">
      <c r="A224" s="343" t="s">
        <v>403</v>
      </c>
      <c r="B224" s="343"/>
      <c r="C224" s="343"/>
      <c r="D224" s="343"/>
      <c r="E224" s="348" t="s">
        <v>1930</v>
      </c>
      <c r="F224" s="348"/>
      <c r="G224" s="348"/>
      <c r="H224" s="343" t="s">
        <v>1931</v>
      </c>
      <c r="I224" s="343"/>
      <c r="J224" s="343"/>
      <c r="K224" s="343"/>
      <c r="L224" s="343"/>
      <c r="M224" s="343"/>
      <c r="N224" s="343"/>
      <c r="O224" s="343"/>
      <c r="P224" s="343"/>
      <c r="Q224" s="343"/>
      <c r="R224" s="343"/>
      <c r="S224" s="343"/>
      <c r="T224" s="343"/>
      <c r="U224" s="343"/>
      <c r="V224" s="343"/>
      <c r="W224" s="343"/>
      <c r="X224" s="343"/>
      <c r="Y224" s="343"/>
      <c r="Z224" s="352" t="s">
        <v>406</v>
      </c>
      <c r="AA224" s="352"/>
      <c r="AB224" s="352"/>
      <c r="AC224" s="352"/>
      <c r="AD224" s="352"/>
      <c r="AE224" s="352"/>
      <c r="AF224" s="352" t="s">
        <v>407</v>
      </c>
      <c r="AG224" s="352"/>
      <c r="AH224" s="352"/>
      <c r="AI224" s="352"/>
      <c r="AJ224" s="352" t="s">
        <v>408</v>
      </c>
      <c r="AK224" s="352"/>
      <c r="AL224" s="352"/>
      <c r="AM224" s="352"/>
      <c r="AN224" s="352"/>
      <c r="AO224" s="352"/>
      <c r="AP224" s="403" t="s">
        <v>409</v>
      </c>
      <c r="AQ224" s="403"/>
      <c r="AR224" s="403" t="s">
        <v>410</v>
      </c>
      <c r="AS224" s="403"/>
    </row>
    <row r="225" spans="1:45" ht="10.5" customHeight="1">
      <c r="A225" s="343" t="s">
        <v>403</v>
      </c>
      <c r="B225" s="343"/>
      <c r="C225" s="343"/>
      <c r="D225" s="343"/>
      <c r="E225" s="348" t="s">
        <v>1970</v>
      </c>
      <c r="F225" s="348"/>
      <c r="G225" s="348"/>
      <c r="H225" s="343" t="s">
        <v>1971</v>
      </c>
      <c r="I225" s="343"/>
      <c r="J225" s="343"/>
      <c r="K225" s="343"/>
      <c r="L225" s="343"/>
      <c r="M225" s="343"/>
      <c r="N225" s="343"/>
      <c r="O225" s="343"/>
      <c r="P225" s="343"/>
      <c r="Q225" s="343"/>
      <c r="R225" s="343"/>
      <c r="S225" s="343"/>
      <c r="T225" s="343"/>
      <c r="U225" s="343"/>
      <c r="V225" s="343"/>
      <c r="W225" s="343"/>
      <c r="X225" s="343"/>
      <c r="Y225" s="343"/>
      <c r="Z225" s="352" t="s">
        <v>2447</v>
      </c>
      <c r="AA225" s="352"/>
      <c r="AB225" s="352"/>
      <c r="AC225" s="352"/>
      <c r="AD225" s="352"/>
      <c r="AE225" s="352"/>
      <c r="AF225" s="352" t="s">
        <v>1953</v>
      </c>
      <c r="AG225" s="352"/>
      <c r="AH225" s="352"/>
      <c r="AI225" s="352"/>
      <c r="AJ225" s="352" t="s">
        <v>411</v>
      </c>
      <c r="AK225" s="352"/>
      <c r="AL225" s="352"/>
      <c r="AM225" s="352"/>
      <c r="AN225" s="352"/>
      <c r="AO225" s="352"/>
      <c r="AP225" s="403" t="s">
        <v>412</v>
      </c>
      <c r="AQ225" s="403"/>
      <c r="AR225" s="403" t="s">
        <v>413</v>
      </c>
      <c r="AS225" s="403"/>
    </row>
    <row r="226" spans="1:45" ht="10.5" customHeight="1">
      <c r="A226" s="343" t="s">
        <v>403</v>
      </c>
      <c r="B226" s="343"/>
      <c r="C226" s="343"/>
      <c r="D226" s="343"/>
      <c r="E226" s="348" t="s">
        <v>2057</v>
      </c>
      <c r="F226" s="348"/>
      <c r="G226" s="348"/>
      <c r="H226" s="343" t="s">
        <v>2058</v>
      </c>
      <c r="I226" s="343"/>
      <c r="J226" s="343"/>
      <c r="K226" s="343"/>
      <c r="L226" s="343"/>
      <c r="M226" s="343"/>
      <c r="N226" s="343"/>
      <c r="O226" s="343"/>
      <c r="P226" s="343"/>
      <c r="Q226" s="343"/>
      <c r="R226" s="343"/>
      <c r="S226" s="343"/>
      <c r="T226" s="343"/>
      <c r="U226" s="343"/>
      <c r="V226" s="343"/>
      <c r="W226" s="343"/>
      <c r="X226" s="343"/>
      <c r="Y226" s="343"/>
      <c r="Z226" s="352"/>
      <c r="AA226" s="352"/>
      <c r="AB226" s="352"/>
      <c r="AC226" s="352"/>
      <c r="AD226" s="352"/>
      <c r="AE226" s="352"/>
      <c r="AF226" s="352" t="s">
        <v>414</v>
      </c>
      <c r="AG226" s="352"/>
      <c r="AH226" s="352"/>
      <c r="AI226" s="352"/>
      <c r="AJ226" s="352"/>
      <c r="AK226" s="352"/>
      <c r="AL226" s="352"/>
      <c r="AM226" s="352"/>
      <c r="AN226" s="352"/>
      <c r="AO226" s="352"/>
      <c r="AP226" s="403" t="s">
        <v>2345</v>
      </c>
      <c r="AQ226" s="403"/>
      <c r="AR226" s="403"/>
      <c r="AS226" s="403"/>
    </row>
    <row r="227" spans="1:45" ht="13.5" thickBot="1">
      <c r="A227" s="404" t="s">
        <v>403</v>
      </c>
      <c r="B227" s="404"/>
      <c r="C227" s="404"/>
      <c r="D227" s="404"/>
      <c r="E227" s="404" t="s">
        <v>415</v>
      </c>
      <c r="F227" s="404"/>
      <c r="G227" s="404"/>
      <c r="H227" s="404"/>
      <c r="I227" s="404"/>
      <c r="J227" s="404"/>
      <c r="K227" s="404"/>
      <c r="L227" s="404"/>
      <c r="M227" s="404"/>
      <c r="N227" s="404"/>
      <c r="O227" s="404"/>
      <c r="P227" s="404"/>
      <c r="Q227" s="404"/>
      <c r="R227" s="404"/>
      <c r="S227" s="404"/>
      <c r="T227" s="404"/>
      <c r="U227" s="404"/>
      <c r="V227" s="404"/>
      <c r="W227" s="404"/>
      <c r="X227" s="404"/>
      <c r="Y227" s="404"/>
      <c r="Z227" s="405" t="s">
        <v>1713</v>
      </c>
      <c r="AA227" s="405"/>
      <c r="AB227" s="405"/>
      <c r="AC227" s="405"/>
      <c r="AD227" s="405"/>
      <c r="AE227" s="405"/>
      <c r="AF227" s="405" t="s">
        <v>416</v>
      </c>
      <c r="AG227" s="405"/>
      <c r="AH227" s="405"/>
      <c r="AI227" s="405"/>
      <c r="AJ227" s="405" t="s">
        <v>417</v>
      </c>
      <c r="AK227" s="405"/>
      <c r="AL227" s="405"/>
      <c r="AM227" s="405"/>
      <c r="AN227" s="405"/>
      <c r="AO227" s="405"/>
      <c r="AP227" s="406" t="s">
        <v>418</v>
      </c>
      <c r="AQ227" s="406"/>
      <c r="AR227" s="406" t="s">
        <v>419</v>
      </c>
      <c r="AS227" s="406"/>
    </row>
    <row r="228" spans="1:45" ht="10.5" customHeight="1">
      <c r="A228" s="354" t="s">
        <v>420</v>
      </c>
      <c r="B228" s="354"/>
      <c r="C228" s="354"/>
      <c r="D228" s="354"/>
      <c r="E228" s="407" t="s">
        <v>1850</v>
      </c>
      <c r="F228" s="407"/>
      <c r="G228" s="407"/>
      <c r="H228" s="354" t="s">
        <v>1851</v>
      </c>
      <c r="I228" s="354"/>
      <c r="J228" s="354"/>
      <c r="K228" s="354"/>
      <c r="L228" s="354"/>
      <c r="M228" s="354"/>
      <c r="N228" s="354"/>
      <c r="O228" s="354"/>
      <c r="P228" s="354"/>
      <c r="Q228" s="354"/>
      <c r="R228" s="354"/>
      <c r="S228" s="354"/>
      <c r="T228" s="354"/>
      <c r="U228" s="354"/>
      <c r="V228" s="354"/>
      <c r="W228" s="354"/>
      <c r="X228" s="354"/>
      <c r="Y228" s="354"/>
      <c r="Z228" s="355" t="s">
        <v>190</v>
      </c>
      <c r="AA228" s="355"/>
      <c r="AB228" s="355"/>
      <c r="AC228" s="355"/>
      <c r="AD228" s="355"/>
      <c r="AE228" s="355"/>
      <c r="AF228" s="355"/>
      <c r="AG228" s="355"/>
      <c r="AH228" s="355"/>
      <c r="AI228" s="355"/>
      <c r="AJ228" s="355"/>
      <c r="AK228" s="355"/>
      <c r="AL228" s="355"/>
      <c r="AM228" s="355"/>
      <c r="AN228" s="355"/>
      <c r="AO228" s="355"/>
      <c r="AP228" s="408"/>
      <c r="AQ228" s="408"/>
      <c r="AR228" s="408" t="s">
        <v>2345</v>
      </c>
      <c r="AS228" s="408"/>
    </row>
    <row r="229" spans="1:45" ht="10.5" customHeight="1">
      <c r="A229" s="343" t="s">
        <v>420</v>
      </c>
      <c r="B229" s="343"/>
      <c r="C229" s="343"/>
      <c r="D229" s="343"/>
      <c r="E229" s="348" t="s">
        <v>1860</v>
      </c>
      <c r="F229" s="348"/>
      <c r="G229" s="348"/>
      <c r="H229" s="343" t="s">
        <v>1861</v>
      </c>
      <c r="I229" s="343"/>
      <c r="J229" s="343"/>
      <c r="K229" s="343"/>
      <c r="L229" s="343"/>
      <c r="M229" s="343"/>
      <c r="N229" s="343"/>
      <c r="O229" s="343"/>
      <c r="P229" s="343"/>
      <c r="Q229" s="343"/>
      <c r="R229" s="343"/>
      <c r="S229" s="343"/>
      <c r="T229" s="343"/>
      <c r="U229" s="343"/>
      <c r="V229" s="343"/>
      <c r="W229" s="343"/>
      <c r="X229" s="343"/>
      <c r="Y229" s="343"/>
      <c r="Z229" s="352" t="s">
        <v>421</v>
      </c>
      <c r="AA229" s="352"/>
      <c r="AB229" s="352"/>
      <c r="AC229" s="352"/>
      <c r="AD229" s="352"/>
      <c r="AE229" s="352"/>
      <c r="AF229" s="352" t="s">
        <v>1770</v>
      </c>
      <c r="AG229" s="352"/>
      <c r="AH229" s="352"/>
      <c r="AI229" s="352"/>
      <c r="AJ229" s="352" t="s">
        <v>422</v>
      </c>
      <c r="AK229" s="352"/>
      <c r="AL229" s="352"/>
      <c r="AM229" s="352"/>
      <c r="AN229" s="352"/>
      <c r="AO229" s="352"/>
      <c r="AP229" s="403" t="s">
        <v>423</v>
      </c>
      <c r="AQ229" s="403"/>
      <c r="AR229" s="403" t="s">
        <v>424</v>
      </c>
      <c r="AS229" s="403"/>
    </row>
    <row r="230" spans="1:45" ht="10.5" customHeight="1">
      <c r="A230" s="343" t="s">
        <v>420</v>
      </c>
      <c r="B230" s="343"/>
      <c r="C230" s="343"/>
      <c r="D230" s="343"/>
      <c r="E230" s="348" t="s">
        <v>1865</v>
      </c>
      <c r="F230" s="348"/>
      <c r="G230" s="348"/>
      <c r="H230" s="343" t="s">
        <v>2304</v>
      </c>
      <c r="I230" s="343"/>
      <c r="J230" s="343"/>
      <c r="K230" s="343"/>
      <c r="L230" s="343"/>
      <c r="M230" s="343"/>
      <c r="N230" s="343"/>
      <c r="O230" s="343"/>
      <c r="P230" s="343"/>
      <c r="Q230" s="343"/>
      <c r="R230" s="343"/>
      <c r="S230" s="343"/>
      <c r="T230" s="343"/>
      <c r="U230" s="343"/>
      <c r="V230" s="343"/>
      <c r="W230" s="343"/>
      <c r="X230" s="343"/>
      <c r="Y230" s="343"/>
      <c r="Z230" s="352" t="s">
        <v>425</v>
      </c>
      <c r="AA230" s="352"/>
      <c r="AB230" s="352"/>
      <c r="AC230" s="352"/>
      <c r="AD230" s="352"/>
      <c r="AE230" s="352"/>
      <c r="AF230" s="352" t="s">
        <v>426</v>
      </c>
      <c r="AG230" s="352"/>
      <c r="AH230" s="352"/>
      <c r="AI230" s="352"/>
      <c r="AJ230" s="352" t="s">
        <v>427</v>
      </c>
      <c r="AK230" s="352"/>
      <c r="AL230" s="352"/>
      <c r="AM230" s="352"/>
      <c r="AN230" s="352"/>
      <c r="AO230" s="352"/>
      <c r="AP230" s="403" t="s">
        <v>428</v>
      </c>
      <c r="AQ230" s="403"/>
      <c r="AR230" s="403" t="s">
        <v>429</v>
      </c>
      <c r="AS230" s="403"/>
    </row>
    <row r="231" spans="1:45" ht="10.5" customHeight="1">
      <c r="A231" s="343" t="s">
        <v>420</v>
      </c>
      <c r="B231" s="343"/>
      <c r="C231" s="343"/>
      <c r="D231" s="343"/>
      <c r="E231" s="348" t="s">
        <v>1875</v>
      </c>
      <c r="F231" s="348"/>
      <c r="G231" s="348"/>
      <c r="H231" s="343" t="s">
        <v>1876</v>
      </c>
      <c r="I231" s="343"/>
      <c r="J231" s="343"/>
      <c r="K231" s="343"/>
      <c r="L231" s="343"/>
      <c r="M231" s="343"/>
      <c r="N231" s="343"/>
      <c r="O231" s="343"/>
      <c r="P231" s="343"/>
      <c r="Q231" s="343"/>
      <c r="R231" s="343"/>
      <c r="S231" s="343"/>
      <c r="T231" s="343"/>
      <c r="U231" s="343"/>
      <c r="V231" s="343"/>
      <c r="W231" s="343"/>
      <c r="X231" s="343"/>
      <c r="Y231" s="343"/>
      <c r="Z231" s="352" t="s">
        <v>1853</v>
      </c>
      <c r="AA231" s="352"/>
      <c r="AB231" s="352"/>
      <c r="AC231" s="352"/>
      <c r="AD231" s="352"/>
      <c r="AE231" s="352"/>
      <c r="AF231" s="352" t="s">
        <v>1853</v>
      </c>
      <c r="AG231" s="352"/>
      <c r="AH231" s="352"/>
      <c r="AI231" s="352"/>
      <c r="AJ231" s="352" t="s">
        <v>430</v>
      </c>
      <c r="AK231" s="352"/>
      <c r="AL231" s="352"/>
      <c r="AM231" s="352"/>
      <c r="AN231" s="352"/>
      <c r="AO231" s="352"/>
      <c r="AP231" s="403" t="s">
        <v>431</v>
      </c>
      <c r="AQ231" s="403"/>
      <c r="AR231" s="403" t="s">
        <v>431</v>
      </c>
      <c r="AS231" s="403"/>
    </row>
    <row r="232" spans="1:45" ht="10.5" customHeight="1">
      <c r="A232" s="343" t="s">
        <v>420</v>
      </c>
      <c r="B232" s="343"/>
      <c r="C232" s="343"/>
      <c r="D232" s="343"/>
      <c r="E232" s="348" t="s">
        <v>1880</v>
      </c>
      <c r="F232" s="348"/>
      <c r="G232" s="348"/>
      <c r="H232" s="343" t="s">
        <v>1881</v>
      </c>
      <c r="I232" s="343"/>
      <c r="J232" s="343"/>
      <c r="K232" s="343"/>
      <c r="L232" s="343"/>
      <c r="M232" s="343"/>
      <c r="N232" s="343"/>
      <c r="O232" s="343"/>
      <c r="P232" s="343"/>
      <c r="Q232" s="343"/>
      <c r="R232" s="343"/>
      <c r="S232" s="343"/>
      <c r="T232" s="343"/>
      <c r="U232" s="343"/>
      <c r="V232" s="343"/>
      <c r="W232" s="343"/>
      <c r="X232" s="343"/>
      <c r="Y232" s="343"/>
      <c r="Z232" s="352" t="s">
        <v>1877</v>
      </c>
      <c r="AA232" s="352"/>
      <c r="AB232" s="352"/>
      <c r="AC232" s="352"/>
      <c r="AD232" s="352"/>
      <c r="AE232" s="352"/>
      <c r="AF232" s="352" t="s">
        <v>432</v>
      </c>
      <c r="AG232" s="352"/>
      <c r="AH232" s="352"/>
      <c r="AI232" s="352"/>
      <c r="AJ232" s="352" t="s">
        <v>433</v>
      </c>
      <c r="AK232" s="352"/>
      <c r="AL232" s="352"/>
      <c r="AM232" s="352"/>
      <c r="AN232" s="352"/>
      <c r="AO232" s="352"/>
      <c r="AP232" s="403" t="s">
        <v>434</v>
      </c>
      <c r="AQ232" s="403"/>
      <c r="AR232" s="403" t="s">
        <v>435</v>
      </c>
      <c r="AS232" s="403"/>
    </row>
    <row r="233" spans="1:45" ht="10.5" customHeight="1">
      <c r="A233" s="343" t="s">
        <v>420</v>
      </c>
      <c r="B233" s="343"/>
      <c r="C233" s="343"/>
      <c r="D233" s="343"/>
      <c r="E233" s="348" t="s">
        <v>1885</v>
      </c>
      <c r="F233" s="348"/>
      <c r="G233" s="348"/>
      <c r="H233" s="343" t="s">
        <v>1886</v>
      </c>
      <c r="I233" s="343"/>
      <c r="J233" s="343"/>
      <c r="K233" s="343"/>
      <c r="L233" s="343"/>
      <c r="M233" s="343"/>
      <c r="N233" s="343"/>
      <c r="O233" s="343"/>
      <c r="P233" s="343"/>
      <c r="Q233" s="343"/>
      <c r="R233" s="343"/>
      <c r="S233" s="343"/>
      <c r="T233" s="343"/>
      <c r="U233" s="343"/>
      <c r="V233" s="343"/>
      <c r="W233" s="343"/>
      <c r="X233" s="343"/>
      <c r="Y233" s="343"/>
      <c r="Z233" s="352" t="s">
        <v>436</v>
      </c>
      <c r="AA233" s="352"/>
      <c r="AB233" s="352"/>
      <c r="AC233" s="352"/>
      <c r="AD233" s="352"/>
      <c r="AE233" s="352"/>
      <c r="AF233" s="352" t="s">
        <v>1618</v>
      </c>
      <c r="AG233" s="352"/>
      <c r="AH233" s="352"/>
      <c r="AI233" s="352"/>
      <c r="AJ233" s="352" t="s">
        <v>437</v>
      </c>
      <c r="AK233" s="352"/>
      <c r="AL233" s="352"/>
      <c r="AM233" s="352"/>
      <c r="AN233" s="352"/>
      <c r="AO233" s="352"/>
      <c r="AP233" s="403" t="s">
        <v>438</v>
      </c>
      <c r="AQ233" s="403"/>
      <c r="AR233" s="403" t="s">
        <v>439</v>
      </c>
      <c r="AS233" s="403"/>
    </row>
    <row r="234" spans="1:45" ht="10.5" customHeight="1">
      <c r="A234" s="343" t="s">
        <v>420</v>
      </c>
      <c r="B234" s="343"/>
      <c r="C234" s="343"/>
      <c r="D234" s="343"/>
      <c r="E234" s="348" t="s">
        <v>1890</v>
      </c>
      <c r="F234" s="348"/>
      <c r="G234" s="348"/>
      <c r="H234" s="343" t="s">
        <v>1891</v>
      </c>
      <c r="I234" s="343"/>
      <c r="J234" s="343"/>
      <c r="K234" s="343"/>
      <c r="L234" s="343"/>
      <c r="M234" s="343"/>
      <c r="N234" s="343"/>
      <c r="O234" s="343"/>
      <c r="P234" s="343"/>
      <c r="Q234" s="343"/>
      <c r="R234" s="343"/>
      <c r="S234" s="343"/>
      <c r="T234" s="343"/>
      <c r="U234" s="343"/>
      <c r="V234" s="343"/>
      <c r="W234" s="343"/>
      <c r="X234" s="343"/>
      <c r="Y234" s="343"/>
      <c r="Z234" s="352" t="s">
        <v>177</v>
      </c>
      <c r="AA234" s="352"/>
      <c r="AB234" s="352"/>
      <c r="AC234" s="352"/>
      <c r="AD234" s="352"/>
      <c r="AE234" s="352"/>
      <c r="AF234" s="352" t="s">
        <v>177</v>
      </c>
      <c r="AG234" s="352"/>
      <c r="AH234" s="352"/>
      <c r="AI234" s="352"/>
      <c r="AJ234" s="352" t="s">
        <v>440</v>
      </c>
      <c r="AK234" s="352"/>
      <c r="AL234" s="352"/>
      <c r="AM234" s="352"/>
      <c r="AN234" s="352"/>
      <c r="AO234" s="352"/>
      <c r="AP234" s="403" t="s">
        <v>441</v>
      </c>
      <c r="AQ234" s="403"/>
      <c r="AR234" s="403" t="s">
        <v>441</v>
      </c>
      <c r="AS234" s="403"/>
    </row>
    <row r="235" spans="1:45" ht="10.5" customHeight="1">
      <c r="A235" s="343" t="s">
        <v>420</v>
      </c>
      <c r="B235" s="343"/>
      <c r="C235" s="343"/>
      <c r="D235" s="343"/>
      <c r="E235" s="348" t="s">
        <v>1905</v>
      </c>
      <c r="F235" s="348"/>
      <c r="G235" s="348"/>
      <c r="H235" s="343" t="s">
        <v>1906</v>
      </c>
      <c r="I235" s="343"/>
      <c r="J235" s="343"/>
      <c r="K235" s="343"/>
      <c r="L235" s="343"/>
      <c r="M235" s="343"/>
      <c r="N235" s="343"/>
      <c r="O235" s="343"/>
      <c r="P235" s="343"/>
      <c r="Q235" s="343"/>
      <c r="R235" s="343"/>
      <c r="S235" s="343"/>
      <c r="T235" s="343"/>
      <c r="U235" s="343"/>
      <c r="V235" s="343"/>
      <c r="W235" s="343"/>
      <c r="X235" s="343"/>
      <c r="Y235" s="343"/>
      <c r="Z235" s="352" t="s">
        <v>442</v>
      </c>
      <c r="AA235" s="352"/>
      <c r="AB235" s="352"/>
      <c r="AC235" s="352"/>
      <c r="AD235" s="352"/>
      <c r="AE235" s="352"/>
      <c r="AF235" s="352" t="s">
        <v>442</v>
      </c>
      <c r="AG235" s="352"/>
      <c r="AH235" s="352"/>
      <c r="AI235" s="352"/>
      <c r="AJ235" s="352" t="s">
        <v>443</v>
      </c>
      <c r="AK235" s="352"/>
      <c r="AL235" s="352"/>
      <c r="AM235" s="352"/>
      <c r="AN235" s="352"/>
      <c r="AO235" s="352"/>
      <c r="AP235" s="403" t="s">
        <v>444</v>
      </c>
      <c r="AQ235" s="403"/>
      <c r="AR235" s="403" t="s">
        <v>444</v>
      </c>
      <c r="AS235" s="403"/>
    </row>
    <row r="236" spans="1:45" ht="10.5" customHeight="1">
      <c r="A236" s="343" t="s">
        <v>420</v>
      </c>
      <c r="B236" s="343"/>
      <c r="C236" s="343"/>
      <c r="D236" s="343"/>
      <c r="E236" s="348" t="s">
        <v>1910</v>
      </c>
      <c r="F236" s="348"/>
      <c r="G236" s="348"/>
      <c r="H236" s="343" t="s">
        <v>1911</v>
      </c>
      <c r="I236" s="343"/>
      <c r="J236" s="343"/>
      <c r="K236" s="343"/>
      <c r="L236" s="343"/>
      <c r="M236" s="343"/>
      <c r="N236" s="343"/>
      <c r="O236" s="343"/>
      <c r="P236" s="343"/>
      <c r="Q236" s="343"/>
      <c r="R236" s="343"/>
      <c r="S236" s="343"/>
      <c r="T236" s="343"/>
      <c r="U236" s="343"/>
      <c r="V236" s="343"/>
      <c r="W236" s="343"/>
      <c r="X236" s="343"/>
      <c r="Y236" s="343"/>
      <c r="Z236" s="352"/>
      <c r="AA236" s="352"/>
      <c r="AB236" s="352"/>
      <c r="AC236" s="352"/>
      <c r="AD236" s="352"/>
      <c r="AE236" s="352"/>
      <c r="AF236" s="352" t="s">
        <v>1618</v>
      </c>
      <c r="AG236" s="352"/>
      <c r="AH236" s="352"/>
      <c r="AI236" s="352"/>
      <c r="AJ236" s="352" t="s">
        <v>445</v>
      </c>
      <c r="AK236" s="352"/>
      <c r="AL236" s="352"/>
      <c r="AM236" s="352"/>
      <c r="AN236" s="352"/>
      <c r="AO236" s="352"/>
      <c r="AP236" s="403" t="s">
        <v>2345</v>
      </c>
      <c r="AQ236" s="403"/>
      <c r="AR236" s="403" t="s">
        <v>446</v>
      </c>
      <c r="AS236" s="403"/>
    </row>
    <row r="237" spans="1:45" ht="10.5" customHeight="1">
      <c r="A237" s="343" t="s">
        <v>420</v>
      </c>
      <c r="B237" s="343"/>
      <c r="C237" s="343"/>
      <c r="D237" s="343"/>
      <c r="E237" s="348" t="s">
        <v>1915</v>
      </c>
      <c r="F237" s="348"/>
      <c r="G237" s="348"/>
      <c r="H237" s="343" t="s">
        <v>1916</v>
      </c>
      <c r="I237" s="343"/>
      <c r="J237" s="343"/>
      <c r="K237" s="343"/>
      <c r="L237" s="343"/>
      <c r="M237" s="343"/>
      <c r="N237" s="343"/>
      <c r="O237" s="343"/>
      <c r="P237" s="343"/>
      <c r="Q237" s="343"/>
      <c r="R237" s="343"/>
      <c r="S237" s="343"/>
      <c r="T237" s="343"/>
      <c r="U237" s="343"/>
      <c r="V237" s="343"/>
      <c r="W237" s="343"/>
      <c r="X237" s="343"/>
      <c r="Y237" s="343"/>
      <c r="Z237" s="352" t="s">
        <v>61</v>
      </c>
      <c r="AA237" s="352"/>
      <c r="AB237" s="352"/>
      <c r="AC237" s="352"/>
      <c r="AD237" s="352"/>
      <c r="AE237" s="352"/>
      <c r="AF237" s="352" t="s">
        <v>61</v>
      </c>
      <c r="AG237" s="352"/>
      <c r="AH237" s="352"/>
      <c r="AI237" s="352"/>
      <c r="AJ237" s="352"/>
      <c r="AK237" s="352"/>
      <c r="AL237" s="352"/>
      <c r="AM237" s="352"/>
      <c r="AN237" s="352"/>
      <c r="AO237" s="352"/>
      <c r="AP237" s="403"/>
      <c r="AQ237" s="403"/>
      <c r="AR237" s="403"/>
      <c r="AS237" s="403"/>
    </row>
    <row r="238" spans="1:45" ht="10.5" customHeight="1">
      <c r="A238" s="343" t="s">
        <v>420</v>
      </c>
      <c r="B238" s="343"/>
      <c r="C238" s="343"/>
      <c r="D238" s="343"/>
      <c r="E238" s="348" t="s">
        <v>1925</v>
      </c>
      <c r="F238" s="348"/>
      <c r="G238" s="348"/>
      <c r="H238" s="343" t="s">
        <v>1926</v>
      </c>
      <c r="I238" s="343"/>
      <c r="J238" s="343"/>
      <c r="K238" s="343"/>
      <c r="L238" s="343"/>
      <c r="M238" s="343"/>
      <c r="N238" s="343"/>
      <c r="O238" s="343"/>
      <c r="P238" s="343"/>
      <c r="Q238" s="343"/>
      <c r="R238" s="343"/>
      <c r="S238" s="343"/>
      <c r="T238" s="343"/>
      <c r="U238" s="343"/>
      <c r="V238" s="343"/>
      <c r="W238" s="343"/>
      <c r="X238" s="343"/>
      <c r="Y238" s="343"/>
      <c r="Z238" s="352"/>
      <c r="AA238" s="352"/>
      <c r="AB238" s="352"/>
      <c r="AC238" s="352"/>
      <c r="AD238" s="352"/>
      <c r="AE238" s="352"/>
      <c r="AF238" s="352" t="s">
        <v>447</v>
      </c>
      <c r="AG238" s="352"/>
      <c r="AH238" s="352"/>
      <c r="AI238" s="352"/>
      <c r="AJ238" s="352"/>
      <c r="AK238" s="352"/>
      <c r="AL238" s="352"/>
      <c r="AM238" s="352"/>
      <c r="AN238" s="352"/>
      <c r="AO238" s="352"/>
      <c r="AP238" s="403" t="s">
        <v>2345</v>
      </c>
      <c r="AQ238" s="403"/>
      <c r="AR238" s="403"/>
      <c r="AS238" s="403"/>
    </row>
    <row r="239" spans="1:45" ht="10.5" customHeight="1">
      <c r="A239" s="343" t="s">
        <v>420</v>
      </c>
      <c r="B239" s="343"/>
      <c r="C239" s="343"/>
      <c r="D239" s="343"/>
      <c r="E239" s="348" t="s">
        <v>1930</v>
      </c>
      <c r="F239" s="348"/>
      <c r="G239" s="348"/>
      <c r="H239" s="343" t="s">
        <v>1931</v>
      </c>
      <c r="I239" s="343"/>
      <c r="J239" s="343"/>
      <c r="K239" s="343"/>
      <c r="L239" s="343"/>
      <c r="M239" s="343"/>
      <c r="N239" s="343"/>
      <c r="O239" s="343"/>
      <c r="P239" s="343"/>
      <c r="Q239" s="343"/>
      <c r="R239" s="343"/>
      <c r="S239" s="343"/>
      <c r="T239" s="343"/>
      <c r="U239" s="343"/>
      <c r="V239" s="343"/>
      <c r="W239" s="343"/>
      <c r="X239" s="343"/>
      <c r="Y239" s="343"/>
      <c r="Z239" s="352" t="s">
        <v>375</v>
      </c>
      <c r="AA239" s="352"/>
      <c r="AB239" s="352"/>
      <c r="AC239" s="352"/>
      <c r="AD239" s="352"/>
      <c r="AE239" s="352"/>
      <c r="AF239" s="352" t="s">
        <v>448</v>
      </c>
      <c r="AG239" s="352"/>
      <c r="AH239" s="352"/>
      <c r="AI239" s="352"/>
      <c r="AJ239" s="352" t="s">
        <v>449</v>
      </c>
      <c r="AK239" s="352"/>
      <c r="AL239" s="352"/>
      <c r="AM239" s="352"/>
      <c r="AN239" s="352"/>
      <c r="AO239" s="352"/>
      <c r="AP239" s="403" t="s">
        <v>450</v>
      </c>
      <c r="AQ239" s="403"/>
      <c r="AR239" s="403" t="s">
        <v>451</v>
      </c>
      <c r="AS239" s="403"/>
    </row>
    <row r="240" spans="1:45" ht="10.5" customHeight="1">
      <c r="A240" s="343" t="s">
        <v>420</v>
      </c>
      <c r="B240" s="343"/>
      <c r="C240" s="343"/>
      <c r="D240" s="343"/>
      <c r="E240" s="348" t="s">
        <v>1940</v>
      </c>
      <c r="F240" s="348"/>
      <c r="G240" s="348"/>
      <c r="H240" s="343" t="s">
        <v>1941</v>
      </c>
      <c r="I240" s="343"/>
      <c r="J240" s="343"/>
      <c r="K240" s="343"/>
      <c r="L240" s="343"/>
      <c r="M240" s="343"/>
      <c r="N240" s="343"/>
      <c r="O240" s="343"/>
      <c r="P240" s="343"/>
      <c r="Q240" s="343"/>
      <c r="R240" s="343"/>
      <c r="S240" s="343"/>
      <c r="T240" s="343"/>
      <c r="U240" s="343"/>
      <c r="V240" s="343"/>
      <c r="W240" s="343"/>
      <c r="X240" s="343"/>
      <c r="Y240" s="343"/>
      <c r="Z240" s="352" t="s">
        <v>2422</v>
      </c>
      <c r="AA240" s="352"/>
      <c r="AB240" s="352"/>
      <c r="AC240" s="352"/>
      <c r="AD240" s="352"/>
      <c r="AE240" s="352"/>
      <c r="AF240" s="352" t="s">
        <v>2434</v>
      </c>
      <c r="AG240" s="352"/>
      <c r="AH240" s="352"/>
      <c r="AI240" s="352"/>
      <c r="AJ240" s="352" t="s">
        <v>452</v>
      </c>
      <c r="AK240" s="352"/>
      <c r="AL240" s="352"/>
      <c r="AM240" s="352"/>
      <c r="AN240" s="352"/>
      <c r="AO240" s="352"/>
      <c r="AP240" s="403" t="s">
        <v>453</v>
      </c>
      <c r="AQ240" s="403"/>
      <c r="AR240" s="403" t="s">
        <v>454</v>
      </c>
      <c r="AS240" s="403"/>
    </row>
    <row r="241" spans="1:45" ht="10.5" customHeight="1">
      <c r="A241" s="343" t="s">
        <v>420</v>
      </c>
      <c r="B241" s="343"/>
      <c r="C241" s="343"/>
      <c r="D241" s="343"/>
      <c r="E241" s="348" t="s">
        <v>2084</v>
      </c>
      <c r="F241" s="348"/>
      <c r="G241" s="348"/>
      <c r="H241" s="343" t="s">
        <v>2085</v>
      </c>
      <c r="I241" s="343"/>
      <c r="J241" s="343"/>
      <c r="K241" s="343"/>
      <c r="L241" s="343"/>
      <c r="M241" s="343"/>
      <c r="N241" s="343"/>
      <c r="O241" s="343"/>
      <c r="P241" s="343"/>
      <c r="Q241" s="343"/>
      <c r="R241" s="343"/>
      <c r="S241" s="343"/>
      <c r="T241" s="343"/>
      <c r="U241" s="343"/>
      <c r="V241" s="343"/>
      <c r="W241" s="343"/>
      <c r="X241" s="343"/>
      <c r="Y241" s="343"/>
      <c r="Z241" s="352"/>
      <c r="AA241" s="352"/>
      <c r="AB241" s="352"/>
      <c r="AC241" s="352"/>
      <c r="AD241" s="352"/>
      <c r="AE241" s="352"/>
      <c r="AF241" s="352" t="s">
        <v>2465</v>
      </c>
      <c r="AG241" s="352"/>
      <c r="AH241" s="352"/>
      <c r="AI241" s="352"/>
      <c r="AJ241" s="352" t="s">
        <v>455</v>
      </c>
      <c r="AK241" s="352"/>
      <c r="AL241" s="352"/>
      <c r="AM241" s="352"/>
      <c r="AN241" s="352"/>
      <c r="AO241" s="352"/>
      <c r="AP241" s="403" t="s">
        <v>2345</v>
      </c>
      <c r="AQ241" s="403"/>
      <c r="AR241" s="403" t="s">
        <v>456</v>
      </c>
      <c r="AS241" s="403"/>
    </row>
    <row r="242" spans="1:45" ht="13.5" thickBot="1">
      <c r="A242" s="404" t="s">
        <v>420</v>
      </c>
      <c r="B242" s="404"/>
      <c r="C242" s="404"/>
      <c r="D242" s="404"/>
      <c r="E242" s="404" t="s">
        <v>457</v>
      </c>
      <c r="F242" s="404"/>
      <c r="G242" s="404"/>
      <c r="H242" s="404"/>
      <c r="I242" s="404"/>
      <c r="J242" s="404"/>
      <c r="K242" s="404"/>
      <c r="L242" s="404"/>
      <c r="M242" s="404"/>
      <c r="N242" s="404"/>
      <c r="O242" s="404"/>
      <c r="P242" s="404"/>
      <c r="Q242" s="404"/>
      <c r="R242" s="404"/>
      <c r="S242" s="404"/>
      <c r="T242" s="404"/>
      <c r="U242" s="404"/>
      <c r="V242" s="404"/>
      <c r="W242" s="404"/>
      <c r="X242" s="404"/>
      <c r="Y242" s="404"/>
      <c r="Z242" s="405" t="s">
        <v>2051</v>
      </c>
      <c r="AA242" s="405"/>
      <c r="AB242" s="405"/>
      <c r="AC242" s="405"/>
      <c r="AD242" s="405"/>
      <c r="AE242" s="405"/>
      <c r="AF242" s="405" t="s">
        <v>458</v>
      </c>
      <c r="AG242" s="405"/>
      <c r="AH242" s="405"/>
      <c r="AI242" s="405"/>
      <c r="AJ242" s="405" t="s">
        <v>459</v>
      </c>
      <c r="AK242" s="405"/>
      <c r="AL242" s="405"/>
      <c r="AM242" s="405"/>
      <c r="AN242" s="405"/>
      <c r="AO242" s="405"/>
      <c r="AP242" s="406" t="s">
        <v>460</v>
      </c>
      <c r="AQ242" s="406"/>
      <c r="AR242" s="406" t="s">
        <v>461</v>
      </c>
      <c r="AS242" s="406"/>
    </row>
    <row r="243" spans="1:45" ht="10.5" customHeight="1">
      <c r="A243" s="354" t="s">
        <v>462</v>
      </c>
      <c r="B243" s="354"/>
      <c r="C243" s="354"/>
      <c r="D243" s="354"/>
      <c r="E243" s="407" t="s">
        <v>1816</v>
      </c>
      <c r="F243" s="407"/>
      <c r="G243" s="407"/>
      <c r="H243" s="354" t="s">
        <v>463</v>
      </c>
      <c r="I243" s="354"/>
      <c r="J243" s="354"/>
      <c r="K243" s="354"/>
      <c r="L243" s="354"/>
      <c r="M243" s="354"/>
      <c r="N243" s="354"/>
      <c r="O243" s="354"/>
      <c r="P243" s="354"/>
      <c r="Q243" s="354"/>
      <c r="R243" s="354"/>
      <c r="S243" s="354"/>
      <c r="T243" s="354"/>
      <c r="U243" s="354"/>
      <c r="V243" s="354"/>
      <c r="W243" s="354"/>
      <c r="X243" s="354"/>
      <c r="Y243" s="354"/>
      <c r="Z243" s="355" t="s">
        <v>1818</v>
      </c>
      <c r="AA243" s="355"/>
      <c r="AB243" s="355"/>
      <c r="AC243" s="355"/>
      <c r="AD243" s="355"/>
      <c r="AE243" s="355"/>
      <c r="AF243" s="355" t="s">
        <v>1818</v>
      </c>
      <c r="AG243" s="355"/>
      <c r="AH243" s="355"/>
      <c r="AI243" s="355"/>
      <c r="AJ243" s="355" t="s">
        <v>1819</v>
      </c>
      <c r="AK243" s="355"/>
      <c r="AL243" s="355"/>
      <c r="AM243" s="355"/>
      <c r="AN243" s="355"/>
      <c r="AO243" s="355"/>
      <c r="AP243" s="408" t="s">
        <v>464</v>
      </c>
      <c r="AQ243" s="408"/>
      <c r="AR243" s="408" t="s">
        <v>464</v>
      </c>
      <c r="AS243" s="408"/>
    </row>
    <row r="244" spans="1:45" ht="10.5" customHeight="1">
      <c r="A244" s="343" t="s">
        <v>462</v>
      </c>
      <c r="B244" s="343"/>
      <c r="C244" s="343"/>
      <c r="D244" s="343"/>
      <c r="E244" s="348" t="s">
        <v>1865</v>
      </c>
      <c r="F244" s="348"/>
      <c r="G244" s="348"/>
      <c r="H244" s="343" t="s">
        <v>2304</v>
      </c>
      <c r="I244" s="343"/>
      <c r="J244" s="343"/>
      <c r="K244" s="343"/>
      <c r="L244" s="343"/>
      <c r="M244" s="343"/>
      <c r="N244" s="343"/>
      <c r="O244" s="343"/>
      <c r="P244" s="343"/>
      <c r="Q244" s="343"/>
      <c r="R244" s="343"/>
      <c r="S244" s="343"/>
      <c r="T244" s="343"/>
      <c r="U244" s="343"/>
      <c r="V244" s="343"/>
      <c r="W244" s="343"/>
      <c r="X244" s="343"/>
      <c r="Y244" s="343"/>
      <c r="Z244" s="352"/>
      <c r="AA244" s="352"/>
      <c r="AB244" s="352"/>
      <c r="AC244" s="352"/>
      <c r="AD244" s="352"/>
      <c r="AE244" s="352"/>
      <c r="AF244" s="352" t="s">
        <v>465</v>
      </c>
      <c r="AG244" s="352"/>
      <c r="AH244" s="352"/>
      <c r="AI244" s="352"/>
      <c r="AJ244" s="352" t="s">
        <v>466</v>
      </c>
      <c r="AK244" s="352"/>
      <c r="AL244" s="352"/>
      <c r="AM244" s="352"/>
      <c r="AN244" s="352"/>
      <c r="AO244" s="352"/>
      <c r="AP244" s="403" t="s">
        <v>2345</v>
      </c>
      <c r="AQ244" s="403"/>
      <c r="AR244" s="403" t="s">
        <v>467</v>
      </c>
      <c r="AS244" s="403"/>
    </row>
    <row r="245" spans="1:45" ht="10.5" customHeight="1">
      <c r="A245" s="343" t="s">
        <v>462</v>
      </c>
      <c r="B245" s="343"/>
      <c r="C245" s="343"/>
      <c r="D245" s="343"/>
      <c r="E245" s="348" t="s">
        <v>1915</v>
      </c>
      <c r="F245" s="348"/>
      <c r="G245" s="348"/>
      <c r="H245" s="343" t="s">
        <v>1916</v>
      </c>
      <c r="I245" s="343"/>
      <c r="J245" s="343"/>
      <c r="K245" s="343"/>
      <c r="L245" s="343"/>
      <c r="M245" s="343"/>
      <c r="N245" s="343"/>
      <c r="O245" s="343"/>
      <c r="P245" s="343"/>
      <c r="Q245" s="343"/>
      <c r="R245" s="343"/>
      <c r="S245" s="343"/>
      <c r="T245" s="343"/>
      <c r="U245" s="343"/>
      <c r="V245" s="343"/>
      <c r="W245" s="343"/>
      <c r="X245" s="343"/>
      <c r="Y245" s="343"/>
      <c r="Z245" s="352"/>
      <c r="AA245" s="352"/>
      <c r="AB245" s="352"/>
      <c r="AC245" s="352"/>
      <c r="AD245" s="352"/>
      <c r="AE245" s="352"/>
      <c r="AF245" s="352"/>
      <c r="AG245" s="352"/>
      <c r="AH245" s="352"/>
      <c r="AI245" s="352"/>
      <c r="AJ245" s="352" t="s">
        <v>130</v>
      </c>
      <c r="AK245" s="352"/>
      <c r="AL245" s="352"/>
      <c r="AM245" s="352"/>
      <c r="AN245" s="352"/>
      <c r="AO245" s="352"/>
      <c r="AP245" s="403" t="s">
        <v>2345</v>
      </c>
      <c r="AQ245" s="403"/>
      <c r="AR245" s="403" t="s">
        <v>2345</v>
      </c>
      <c r="AS245" s="403"/>
    </row>
    <row r="246" spans="1:45" ht="10.5" customHeight="1">
      <c r="A246" s="343" t="s">
        <v>462</v>
      </c>
      <c r="B246" s="343"/>
      <c r="C246" s="343"/>
      <c r="D246" s="343"/>
      <c r="E246" s="348" t="s">
        <v>1925</v>
      </c>
      <c r="F246" s="348"/>
      <c r="G246" s="348"/>
      <c r="H246" s="343" t="s">
        <v>1926</v>
      </c>
      <c r="I246" s="343"/>
      <c r="J246" s="343"/>
      <c r="K246" s="343"/>
      <c r="L246" s="343"/>
      <c r="M246" s="343"/>
      <c r="N246" s="343"/>
      <c r="O246" s="343"/>
      <c r="P246" s="343"/>
      <c r="Q246" s="343"/>
      <c r="R246" s="343"/>
      <c r="S246" s="343"/>
      <c r="T246" s="343"/>
      <c r="U246" s="343"/>
      <c r="V246" s="343"/>
      <c r="W246" s="343"/>
      <c r="X246" s="343"/>
      <c r="Y246" s="343"/>
      <c r="Z246" s="352"/>
      <c r="AA246" s="352"/>
      <c r="AB246" s="352"/>
      <c r="AC246" s="352"/>
      <c r="AD246" s="352"/>
      <c r="AE246" s="352"/>
      <c r="AF246" s="352" t="s">
        <v>468</v>
      </c>
      <c r="AG246" s="352"/>
      <c r="AH246" s="352"/>
      <c r="AI246" s="352"/>
      <c r="AJ246" s="352" t="s">
        <v>99</v>
      </c>
      <c r="AK246" s="352"/>
      <c r="AL246" s="352"/>
      <c r="AM246" s="352"/>
      <c r="AN246" s="352"/>
      <c r="AO246" s="352"/>
      <c r="AP246" s="403" t="s">
        <v>2345</v>
      </c>
      <c r="AQ246" s="403"/>
      <c r="AR246" s="403" t="s">
        <v>469</v>
      </c>
      <c r="AS246" s="403"/>
    </row>
    <row r="247" spans="1:45" ht="10.5" customHeight="1">
      <c r="A247" s="343" t="s">
        <v>462</v>
      </c>
      <c r="B247" s="343"/>
      <c r="C247" s="343"/>
      <c r="D247" s="343"/>
      <c r="E247" s="348" t="s">
        <v>1930</v>
      </c>
      <c r="F247" s="348"/>
      <c r="G247" s="348"/>
      <c r="H247" s="343" t="s">
        <v>1931</v>
      </c>
      <c r="I247" s="343"/>
      <c r="J247" s="343"/>
      <c r="K247" s="343"/>
      <c r="L247" s="343"/>
      <c r="M247" s="343"/>
      <c r="N247" s="343"/>
      <c r="O247" s="343"/>
      <c r="P247" s="343"/>
      <c r="Q247" s="343"/>
      <c r="R247" s="343"/>
      <c r="S247" s="343"/>
      <c r="T247" s="343"/>
      <c r="U247" s="343"/>
      <c r="V247" s="343"/>
      <c r="W247" s="343"/>
      <c r="X247" s="343"/>
      <c r="Y247" s="343"/>
      <c r="Z247" s="352" t="s">
        <v>142</v>
      </c>
      <c r="AA247" s="352"/>
      <c r="AB247" s="352"/>
      <c r="AC247" s="352"/>
      <c r="AD247" s="352"/>
      <c r="AE247" s="352"/>
      <c r="AF247" s="352" t="s">
        <v>470</v>
      </c>
      <c r="AG247" s="352"/>
      <c r="AH247" s="352"/>
      <c r="AI247" s="352"/>
      <c r="AJ247" s="352" t="s">
        <v>471</v>
      </c>
      <c r="AK247" s="352"/>
      <c r="AL247" s="352"/>
      <c r="AM247" s="352"/>
      <c r="AN247" s="352"/>
      <c r="AO247" s="352"/>
      <c r="AP247" s="403" t="s">
        <v>2345</v>
      </c>
      <c r="AQ247" s="403"/>
      <c r="AR247" s="403" t="s">
        <v>472</v>
      </c>
      <c r="AS247" s="403"/>
    </row>
    <row r="248" spans="1:45" ht="10.5" customHeight="1">
      <c r="A248" s="343" t="s">
        <v>462</v>
      </c>
      <c r="B248" s="343"/>
      <c r="C248" s="343"/>
      <c r="D248" s="343"/>
      <c r="E248" s="348" t="s">
        <v>1950</v>
      </c>
      <c r="F248" s="348"/>
      <c r="G248" s="348"/>
      <c r="H248" s="343" t="s">
        <v>2307</v>
      </c>
      <c r="I248" s="343"/>
      <c r="J248" s="343"/>
      <c r="K248" s="343"/>
      <c r="L248" s="343"/>
      <c r="M248" s="343"/>
      <c r="N248" s="343"/>
      <c r="O248" s="343"/>
      <c r="P248" s="343"/>
      <c r="Q248" s="343"/>
      <c r="R248" s="343"/>
      <c r="S248" s="343"/>
      <c r="T248" s="343"/>
      <c r="U248" s="343"/>
      <c r="V248" s="343"/>
      <c r="W248" s="343"/>
      <c r="X248" s="343"/>
      <c r="Y248" s="343"/>
      <c r="Z248" s="352"/>
      <c r="AA248" s="352"/>
      <c r="AB248" s="352"/>
      <c r="AC248" s="352"/>
      <c r="AD248" s="352"/>
      <c r="AE248" s="352"/>
      <c r="AF248" s="352" t="s">
        <v>65</v>
      </c>
      <c r="AG248" s="352"/>
      <c r="AH248" s="352"/>
      <c r="AI248" s="352"/>
      <c r="AJ248" s="352" t="s">
        <v>473</v>
      </c>
      <c r="AK248" s="352"/>
      <c r="AL248" s="352"/>
      <c r="AM248" s="352"/>
      <c r="AN248" s="352"/>
      <c r="AO248" s="352"/>
      <c r="AP248" s="403" t="s">
        <v>2345</v>
      </c>
      <c r="AQ248" s="403"/>
      <c r="AR248" s="403" t="s">
        <v>474</v>
      </c>
      <c r="AS248" s="403"/>
    </row>
    <row r="249" spans="1:45" ht="10.5" customHeight="1">
      <c r="A249" s="343" t="s">
        <v>462</v>
      </c>
      <c r="B249" s="343"/>
      <c r="C249" s="343"/>
      <c r="D249" s="343"/>
      <c r="E249" s="348" t="s">
        <v>1955</v>
      </c>
      <c r="F249" s="348"/>
      <c r="G249" s="348"/>
      <c r="H249" s="343" t="s">
        <v>1956</v>
      </c>
      <c r="I249" s="343"/>
      <c r="J249" s="343"/>
      <c r="K249" s="343"/>
      <c r="L249" s="343"/>
      <c r="M249" s="343"/>
      <c r="N249" s="343"/>
      <c r="O249" s="343"/>
      <c r="P249" s="343"/>
      <c r="Q249" s="343"/>
      <c r="R249" s="343"/>
      <c r="S249" s="343"/>
      <c r="T249" s="343"/>
      <c r="U249" s="343"/>
      <c r="V249" s="343"/>
      <c r="W249" s="343"/>
      <c r="X249" s="343"/>
      <c r="Y249" s="343"/>
      <c r="Z249" s="352" t="s">
        <v>184</v>
      </c>
      <c r="AA249" s="352"/>
      <c r="AB249" s="352"/>
      <c r="AC249" s="352"/>
      <c r="AD249" s="352"/>
      <c r="AE249" s="352"/>
      <c r="AF249" s="352" t="s">
        <v>475</v>
      </c>
      <c r="AG249" s="352"/>
      <c r="AH249" s="352"/>
      <c r="AI249" s="352"/>
      <c r="AJ249" s="352" t="s">
        <v>476</v>
      </c>
      <c r="AK249" s="352"/>
      <c r="AL249" s="352"/>
      <c r="AM249" s="352"/>
      <c r="AN249" s="352"/>
      <c r="AO249" s="352"/>
      <c r="AP249" s="403" t="s">
        <v>477</v>
      </c>
      <c r="AQ249" s="403"/>
      <c r="AR249" s="403" t="s">
        <v>478</v>
      </c>
      <c r="AS249" s="403"/>
    </row>
    <row r="250" spans="1:45" ht="10.5" customHeight="1">
      <c r="A250" s="343" t="s">
        <v>462</v>
      </c>
      <c r="B250" s="343"/>
      <c r="C250" s="343"/>
      <c r="D250" s="343"/>
      <c r="E250" s="348" t="s">
        <v>1965</v>
      </c>
      <c r="F250" s="348"/>
      <c r="G250" s="348"/>
      <c r="H250" s="343" t="s">
        <v>479</v>
      </c>
      <c r="I250" s="343"/>
      <c r="J250" s="343"/>
      <c r="K250" s="343"/>
      <c r="L250" s="343"/>
      <c r="M250" s="343"/>
      <c r="N250" s="343"/>
      <c r="O250" s="343"/>
      <c r="P250" s="343"/>
      <c r="Q250" s="343"/>
      <c r="R250" s="343"/>
      <c r="S250" s="343"/>
      <c r="T250" s="343"/>
      <c r="U250" s="343"/>
      <c r="V250" s="343"/>
      <c r="W250" s="343"/>
      <c r="X250" s="343"/>
      <c r="Y250" s="343"/>
      <c r="Z250" s="352"/>
      <c r="AA250" s="352"/>
      <c r="AB250" s="352"/>
      <c r="AC250" s="352"/>
      <c r="AD250" s="352"/>
      <c r="AE250" s="352"/>
      <c r="AF250" s="352" t="s">
        <v>480</v>
      </c>
      <c r="AG250" s="352"/>
      <c r="AH250" s="352"/>
      <c r="AI250" s="352"/>
      <c r="AJ250" s="352" t="s">
        <v>481</v>
      </c>
      <c r="AK250" s="352"/>
      <c r="AL250" s="352"/>
      <c r="AM250" s="352"/>
      <c r="AN250" s="352"/>
      <c r="AO250" s="352"/>
      <c r="AP250" s="403" t="s">
        <v>2345</v>
      </c>
      <c r="AQ250" s="403"/>
      <c r="AR250" s="403" t="s">
        <v>482</v>
      </c>
      <c r="AS250" s="403"/>
    </row>
    <row r="251" spans="1:45" ht="10.5" customHeight="1">
      <c r="A251" s="343" t="s">
        <v>462</v>
      </c>
      <c r="B251" s="343"/>
      <c r="C251" s="343"/>
      <c r="D251" s="343"/>
      <c r="E251" s="348" t="s">
        <v>1970</v>
      </c>
      <c r="F251" s="348"/>
      <c r="G251" s="348"/>
      <c r="H251" s="343" t="s">
        <v>1971</v>
      </c>
      <c r="I251" s="343"/>
      <c r="J251" s="343"/>
      <c r="K251" s="343"/>
      <c r="L251" s="343"/>
      <c r="M251" s="343"/>
      <c r="N251" s="343"/>
      <c r="O251" s="343"/>
      <c r="P251" s="343"/>
      <c r="Q251" s="343"/>
      <c r="R251" s="343"/>
      <c r="S251" s="343"/>
      <c r="T251" s="343"/>
      <c r="U251" s="343"/>
      <c r="V251" s="343"/>
      <c r="W251" s="343"/>
      <c r="X251" s="343"/>
      <c r="Y251" s="343"/>
      <c r="Z251" s="352" t="s">
        <v>2447</v>
      </c>
      <c r="AA251" s="352"/>
      <c r="AB251" s="352"/>
      <c r="AC251" s="352"/>
      <c r="AD251" s="352"/>
      <c r="AE251" s="352"/>
      <c r="AF251" s="352" t="s">
        <v>483</v>
      </c>
      <c r="AG251" s="352"/>
      <c r="AH251" s="352"/>
      <c r="AI251" s="352"/>
      <c r="AJ251" s="352" t="s">
        <v>484</v>
      </c>
      <c r="AK251" s="352"/>
      <c r="AL251" s="352"/>
      <c r="AM251" s="352"/>
      <c r="AN251" s="352"/>
      <c r="AO251" s="352"/>
      <c r="AP251" s="403" t="s">
        <v>485</v>
      </c>
      <c r="AQ251" s="403"/>
      <c r="AR251" s="403" t="s">
        <v>486</v>
      </c>
      <c r="AS251" s="403"/>
    </row>
    <row r="252" spans="1:45" ht="10.5" customHeight="1">
      <c r="A252" s="343" t="s">
        <v>462</v>
      </c>
      <c r="B252" s="343"/>
      <c r="C252" s="343"/>
      <c r="D252" s="343"/>
      <c r="E252" s="348" t="s">
        <v>2057</v>
      </c>
      <c r="F252" s="348"/>
      <c r="G252" s="348"/>
      <c r="H252" s="343" t="s">
        <v>2058</v>
      </c>
      <c r="I252" s="343"/>
      <c r="J252" s="343"/>
      <c r="K252" s="343"/>
      <c r="L252" s="343"/>
      <c r="M252" s="343"/>
      <c r="N252" s="343"/>
      <c r="O252" s="343"/>
      <c r="P252" s="343"/>
      <c r="Q252" s="343"/>
      <c r="R252" s="343"/>
      <c r="S252" s="343"/>
      <c r="T252" s="343"/>
      <c r="U252" s="343"/>
      <c r="V252" s="343"/>
      <c r="W252" s="343"/>
      <c r="X252" s="343"/>
      <c r="Y252" s="343"/>
      <c r="Z252" s="352"/>
      <c r="AA252" s="352"/>
      <c r="AB252" s="352"/>
      <c r="AC252" s="352"/>
      <c r="AD252" s="352"/>
      <c r="AE252" s="352"/>
      <c r="AF252" s="352" t="s">
        <v>1713</v>
      </c>
      <c r="AG252" s="352"/>
      <c r="AH252" s="352"/>
      <c r="AI252" s="352"/>
      <c r="AJ252" s="352"/>
      <c r="AK252" s="352"/>
      <c r="AL252" s="352"/>
      <c r="AM252" s="352"/>
      <c r="AN252" s="352"/>
      <c r="AO252" s="352"/>
      <c r="AP252" s="403" t="s">
        <v>2345</v>
      </c>
      <c r="AQ252" s="403"/>
      <c r="AR252" s="403"/>
      <c r="AS252" s="403"/>
    </row>
    <row r="253" spans="1:45" ht="13.5" thickBot="1">
      <c r="A253" s="404" t="s">
        <v>462</v>
      </c>
      <c r="B253" s="404"/>
      <c r="C253" s="404"/>
      <c r="D253" s="404"/>
      <c r="E253" s="404" t="s">
        <v>487</v>
      </c>
      <c r="F253" s="404"/>
      <c r="G253" s="404"/>
      <c r="H253" s="404"/>
      <c r="I253" s="404"/>
      <c r="J253" s="404"/>
      <c r="K253" s="404"/>
      <c r="L253" s="404"/>
      <c r="M253" s="404"/>
      <c r="N253" s="404"/>
      <c r="O253" s="404"/>
      <c r="P253" s="404"/>
      <c r="Q253" s="404"/>
      <c r="R253" s="404"/>
      <c r="S253" s="404"/>
      <c r="T253" s="404"/>
      <c r="U253" s="404"/>
      <c r="V253" s="404"/>
      <c r="W253" s="404"/>
      <c r="X253" s="404"/>
      <c r="Y253" s="404"/>
      <c r="Z253" s="405" t="s">
        <v>488</v>
      </c>
      <c r="AA253" s="405"/>
      <c r="AB253" s="405"/>
      <c r="AC253" s="405"/>
      <c r="AD253" s="405"/>
      <c r="AE253" s="405"/>
      <c r="AF253" s="405" t="s">
        <v>489</v>
      </c>
      <c r="AG253" s="405"/>
      <c r="AH253" s="405"/>
      <c r="AI253" s="405"/>
      <c r="AJ253" s="405" t="s">
        <v>490</v>
      </c>
      <c r="AK253" s="405"/>
      <c r="AL253" s="405"/>
      <c r="AM253" s="405"/>
      <c r="AN253" s="405"/>
      <c r="AO253" s="405"/>
      <c r="AP253" s="406" t="s">
        <v>491</v>
      </c>
      <c r="AQ253" s="406"/>
      <c r="AR253" s="406" t="s">
        <v>492</v>
      </c>
      <c r="AS253" s="406"/>
    </row>
    <row r="254" spans="1:45" ht="10.5" customHeight="1">
      <c r="A254" s="354" t="s">
        <v>493</v>
      </c>
      <c r="B254" s="354"/>
      <c r="C254" s="354"/>
      <c r="D254" s="354"/>
      <c r="E254" s="407" t="s">
        <v>1811</v>
      </c>
      <c r="F254" s="407"/>
      <c r="G254" s="407"/>
      <c r="H254" s="354" t="s">
        <v>1812</v>
      </c>
      <c r="I254" s="354"/>
      <c r="J254" s="354"/>
      <c r="K254" s="354"/>
      <c r="L254" s="354"/>
      <c r="M254" s="354"/>
      <c r="N254" s="354"/>
      <c r="O254" s="354"/>
      <c r="P254" s="354"/>
      <c r="Q254" s="354"/>
      <c r="R254" s="354"/>
      <c r="S254" s="354"/>
      <c r="T254" s="354"/>
      <c r="U254" s="354"/>
      <c r="V254" s="354"/>
      <c r="W254" s="354"/>
      <c r="X254" s="354"/>
      <c r="Y254" s="354"/>
      <c r="Z254" s="355"/>
      <c r="AA254" s="355"/>
      <c r="AB254" s="355"/>
      <c r="AC254" s="355"/>
      <c r="AD254" s="355"/>
      <c r="AE254" s="355"/>
      <c r="AF254" s="355" t="s">
        <v>494</v>
      </c>
      <c r="AG254" s="355"/>
      <c r="AH254" s="355"/>
      <c r="AI254" s="355"/>
      <c r="AJ254" s="355" t="s">
        <v>495</v>
      </c>
      <c r="AK254" s="355"/>
      <c r="AL254" s="355"/>
      <c r="AM254" s="355"/>
      <c r="AN254" s="355"/>
      <c r="AO254" s="355"/>
      <c r="AP254" s="408" t="s">
        <v>2345</v>
      </c>
      <c r="AQ254" s="408"/>
      <c r="AR254" s="408" t="s">
        <v>496</v>
      </c>
      <c r="AS254" s="408"/>
    </row>
    <row r="255" spans="1:45" ht="10.5" customHeight="1">
      <c r="A255" s="343" t="s">
        <v>493</v>
      </c>
      <c r="B255" s="343"/>
      <c r="C255" s="343"/>
      <c r="D255" s="343"/>
      <c r="E255" s="348" t="s">
        <v>1865</v>
      </c>
      <c r="F255" s="348"/>
      <c r="G255" s="348"/>
      <c r="H255" s="343" t="s">
        <v>2304</v>
      </c>
      <c r="I255" s="343"/>
      <c r="J255" s="343"/>
      <c r="K255" s="343"/>
      <c r="L255" s="343"/>
      <c r="M255" s="343"/>
      <c r="N255" s="343"/>
      <c r="O255" s="343"/>
      <c r="P255" s="343"/>
      <c r="Q255" s="343"/>
      <c r="R255" s="343"/>
      <c r="S255" s="343"/>
      <c r="T255" s="343"/>
      <c r="U255" s="343"/>
      <c r="V255" s="343"/>
      <c r="W255" s="343"/>
      <c r="X255" s="343"/>
      <c r="Y255" s="343"/>
      <c r="Z255" s="352"/>
      <c r="AA255" s="352"/>
      <c r="AB255" s="352"/>
      <c r="AC255" s="352"/>
      <c r="AD255" s="352"/>
      <c r="AE255" s="352"/>
      <c r="AF255" s="352" t="s">
        <v>497</v>
      </c>
      <c r="AG255" s="352"/>
      <c r="AH255" s="352"/>
      <c r="AI255" s="352"/>
      <c r="AJ255" s="352" t="s">
        <v>498</v>
      </c>
      <c r="AK255" s="352"/>
      <c r="AL255" s="352"/>
      <c r="AM255" s="352"/>
      <c r="AN255" s="352"/>
      <c r="AO255" s="352"/>
      <c r="AP255" s="403" t="s">
        <v>2345</v>
      </c>
      <c r="AQ255" s="403"/>
      <c r="AR255" s="403" t="s">
        <v>499</v>
      </c>
      <c r="AS255" s="403"/>
    </row>
    <row r="256" spans="1:45" ht="10.5" customHeight="1">
      <c r="A256" s="343" t="s">
        <v>493</v>
      </c>
      <c r="B256" s="343"/>
      <c r="C256" s="343"/>
      <c r="D256" s="343"/>
      <c r="E256" s="348" t="s">
        <v>1905</v>
      </c>
      <c r="F256" s="348"/>
      <c r="G256" s="348"/>
      <c r="H256" s="343" t="s">
        <v>1906</v>
      </c>
      <c r="I256" s="343"/>
      <c r="J256" s="343"/>
      <c r="K256" s="343"/>
      <c r="L256" s="343"/>
      <c r="M256" s="343"/>
      <c r="N256" s="343"/>
      <c r="O256" s="343"/>
      <c r="P256" s="343"/>
      <c r="Q256" s="343"/>
      <c r="R256" s="343"/>
      <c r="S256" s="343"/>
      <c r="T256" s="343"/>
      <c r="U256" s="343"/>
      <c r="V256" s="343"/>
      <c r="W256" s="343"/>
      <c r="X256" s="343"/>
      <c r="Y256" s="343"/>
      <c r="Z256" s="352"/>
      <c r="AA256" s="352"/>
      <c r="AB256" s="352"/>
      <c r="AC256" s="352"/>
      <c r="AD256" s="352"/>
      <c r="AE256" s="352"/>
      <c r="AF256" s="352"/>
      <c r="AG256" s="352"/>
      <c r="AH256" s="352"/>
      <c r="AI256" s="352"/>
      <c r="AJ256" s="352" t="s">
        <v>500</v>
      </c>
      <c r="AK256" s="352"/>
      <c r="AL256" s="352"/>
      <c r="AM256" s="352"/>
      <c r="AN256" s="352"/>
      <c r="AO256" s="352"/>
      <c r="AP256" s="403" t="s">
        <v>2345</v>
      </c>
      <c r="AQ256" s="403"/>
      <c r="AR256" s="403" t="s">
        <v>2345</v>
      </c>
      <c r="AS256" s="403"/>
    </row>
    <row r="257" spans="1:45" ht="10.5" customHeight="1">
      <c r="A257" s="343" t="s">
        <v>493</v>
      </c>
      <c r="B257" s="343"/>
      <c r="C257" s="343"/>
      <c r="D257" s="343"/>
      <c r="E257" s="348" t="s">
        <v>1915</v>
      </c>
      <c r="F257" s="348"/>
      <c r="G257" s="348"/>
      <c r="H257" s="343" t="s">
        <v>1916</v>
      </c>
      <c r="I257" s="343"/>
      <c r="J257" s="343"/>
      <c r="K257" s="343"/>
      <c r="L257" s="343"/>
      <c r="M257" s="343"/>
      <c r="N257" s="343"/>
      <c r="O257" s="343"/>
      <c r="P257" s="343"/>
      <c r="Q257" s="343"/>
      <c r="R257" s="343"/>
      <c r="S257" s="343"/>
      <c r="T257" s="343"/>
      <c r="U257" s="343"/>
      <c r="V257" s="343"/>
      <c r="W257" s="343"/>
      <c r="X257" s="343"/>
      <c r="Y257" s="343"/>
      <c r="Z257" s="352"/>
      <c r="AA257" s="352"/>
      <c r="AB257" s="352"/>
      <c r="AC257" s="352"/>
      <c r="AD257" s="352"/>
      <c r="AE257" s="352"/>
      <c r="AF257" s="352" t="s">
        <v>501</v>
      </c>
      <c r="AG257" s="352"/>
      <c r="AH257" s="352"/>
      <c r="AI257" s="352"/>
      <c r="AJ257" s="352" t="s">
        <v>502</v>
      </c>
      <c r="AK257" s="352"/>
      <c r="AL257" s="352"/>
      <c r="AM257" s="352"/>
      <c r="AN257" s="352"/>
      <c r="AO257" s="352"/>
      <c r="AP257" s="403" t="s">
        <v>2345</v>
      </c>
      <c r="AQ257" s="403"/>
      <c r="AR257" s="403" t="s">
        <v>503</v>
      </c>
      <c r="AS257" s="403"/>
    </row>
    <row r="258" spans="1:45" ht="10.5" customHeight="1">
      <c r="A258" s="343" t="s">
        <v>493</v>
      </c>
      <c r="B258" s="343"/>
      <c r="C258" s="343"/>
      <c r="D258" s="343"/>
      <c r="E258" s="348" t="s">
        <v>1930</v>
      </c>
      <c r="F258" s="348"/>
      <c r="G258" s="348"/>
      <c r="H258" s="343" t="s">
        <v>1931</v>
      </c>
      <c r="I258" s="343"/>
      <c r="J258" s="343"/>
      <c r="K258" s="343"/>
      <c r="L258" s="343"/>
      <c r="M258" s="343"/>
      <c r="N258" s="343"/>
      <c r="O258" s="343"/>
      <c r="P258" s="343"/>
      <c r="Q258" s="343"/>
      <c r="R258" s="343"/>
      <c r="S258" s="343"/>
      <c r="T258" s="343"/>
      <c r="U258" s="343"/>
      <c r="V258" s="343"/>
      <c r="W258" s="343"/>
      <c r="X258" s="343"/>
      <c r="Y258" s="343"/>
      <c r="Z258" s="352"/>
      <c r="AA258" s="352"/>
      <c r="AB258" s="352"/>
      <c r="AC258" s="352"/>
      <c r="AD258" s="352"/>
      <c r="AE258" s="352"/>
      <c r="AF258" s="352" t="s">
        <v>504</v>
      </c>
      <c r="AG258" s="352"/>
      <c r="AH258" s="352"/>
      <c r="AI258" s="352"/>
      <c r="AJ258" s="352" t="s">
        <v>505</v>
      </c>
      <c r="AK258" s="352"/>
      <c r="AL258" s="352"/>
      <c r="AM258" s="352"/>
      <c r="AN258" s="352"/>
      <c r="AO258" s="352"/>
      <c r="AP258" s="403" t="s">
        <v>2345</v>
      </c>
      <c r="AQ258" s="403"/>
      <c r="AR258" s="403" t="s">
        <v>506</v>
      </c>
      <c r="AS258" s="403"/>
    </row>
    <row r="259" spans="1:45" ht="13.5" thickBot="1">
      <c r="A259" s="404" t="s">
        <v>493</v>
      </c>
      <c r="B259" s="404"/>
      <c r="C259" s="404"/>
      <c r="D259" s="404"/>
      <c r="E259" s="404" t="s">
        <v>507</v>
      </c>
      <c r="F259" s="404"/>
      <c r="G259" s="404"/>
      <c r="H259" s="404"/>
      <c r="I259" s="404"/>
      <c r="J259" s="404"/>
      <c r="K259" s="404"/>
      <c r="L259" s="404"/>
      <c r="M259" s="404"/>
      <c r="N259" s="404"/>
      <c r="O259" s="404"/>
      <c r="P259" s="404"/>
      <c r="Q259" s="404"/>
      <c r="R259" s="404"/>
      <c r="S259" s="404"/>
      <c r="T259" s="404"/>
      <c r="U259" s="404"/>
      <c r="V259" s="404"/>
      <c r="W259" s="404"/>
      <c r="X259" s="404"/>
      <c r="Y259" s="404"/>
      <c r="Z259" s="405"/>
      <c r="AA259" s="405"/>
      <c r="AB259" s="405"/>
      <c r="AC259" s="405"/>
      <c r="AD259" s="405"/>
      <c r="AE259" s="405"/>
      <c r="AF259" s="405" t="s">
        <v>508</v>
      </c>
      <c r="AG259" s="405"/>
      <c r="AH259" s="405"/>
      <c r="AI259" s="405"/>
      <c r="AJ259" s="405" t="s">
        <v>509</v>
      </c>
      <c r="AK259" s="405"/>
      <c r="AL259" s="405"/>
      <c r="AM259" s="405"/>
      <c r="AN259" s="405"/>
      <c r="AO259" s="405"/>
      <c r="AP259" s="406" t="s">
        <v>2345</v>
      </c>
      <c r="AQ259" s="406"/>
      <c r="AR259" s="406" t="s">
        <v>510</v>
      </c>
      <c r="AS259" s="406"/>
    </row>
    <row r="260" spans="1:45" ht="12.75">
      <c r="A260" s="354" t="s">
        <v>2386</v>
      </c>
      <c r="B260" s="354"/>
      <c r="C260" s="354"/>
      <c r="D260" s="354"/>
      <c r="E260" s="407" t="s">
        <v>1804</v>
      </c>
      <c r="F260" s="407"/>
      <c r="G260" s="407"/>
      <c r="H260" s="354" t="s">
        <v>1805</v>
      </c>
      <c r="I260" s="354"/>
      <c r="J260" s="354"/>
      <c r="K260" s="354"/>
      <c r="L260" s="354"/>
      <c r="M260" s="354"/>
      <c r="N260" s="354"/>
      <c r="O260" s="354"/>
      <c r="P260" s="354"/>
      <c r="Q260" s="354"/>
      <c r="R260" s="354"/>
      <c r="S260" s="354"/>
      <c r="T260" s="354"/>
      <c r="U260" s="354"/>
      <c r="V260" s="354"/>
      <c r="W260" s="354"/>
      <c r="X260" s="354"/>
      <c r="Y260" s="354"/>
      <c r="Z260" s="355" t="s">
        <v>511</v>
      </c>
      <c r="AA260" s="355"/>
      <c r="AB260" s="355"/>
      <c r="AC260" s="355"/>
      <c r="AD260" s="355"/>
      <c r="AE260" s="355"/>
      <c r="AF260" s="355" t="s">
        <v>512</v>
      </c>
      <c r="AG260" s="355"/>
      <c r="AH260" s="355"/>
      <c r="AI260" s="355"/>
      <c r="AJ260" s="355" t="s">
        <v>513</v>
      </c>
      <c r="AK260" s="355"/>
      <c r="AL260" s="355"/>
      <c r="AM260" s="355"/>
      <c r="AN260" s="355"/>
      <c r="AO260" s="355"/>
      <c r="AP260" s="408" t="s">
        <v>514</v>
      </c>
      <c r="AQ260" s="408"/>
      <c r="AR260" s="408" t="s">
        <v>515</v>
      </c>
      <c r="AS260" s="408"/>
    </row>
    <row r="261" spans="1:45" ht="10.5" customHeight="1">
      <c r="A261" s="343" t="s">
        <v>2386</v>
      </c>
      <c r="B261" s="343"/>
      <c r="C261" s="343"/>
      <c r="D261" s="343"/>
      <c r="E261" s="348" t="s">
        <v>1811</v>
      </c>
      <c r="F261" s="348"/>
      <c r="G261" s="348"/>
      <c r="H261" s="343" t="s">
        <v>1812</v>
      </c>
      <c r="I261" s="343"/>
      <c r="J261" s="343"/>
      <c r="K261" s="343"/>
      <c r="L261" s="343"/>
      <c r="M261" s="343"/>
      <c r="N261" s="343"/>
      <c r="O261" s="343"/>
      <c r="P261" s="343"/>
      <c r="Q261" s="343"/>
      <c r="R261" s="343"/>
      <c r="S261" s="343"/>
      <c r="T261" s="343"/>
      <c r="U261" s="343"/>
      <c r="V261" s="343"/>
      <c r="W261" s="343"/>
      <c r="X261" s="343"/>
      <c r="Y261" s="343"/>
      <c r="Z261" s="352" t="s">
        <v>154</v>
      </c>
      <c r="AA261" s="352"/>
      <c r="AB261" s="352"/>
      <c r="AC261" s="352"/>
      <c r="AD261" s="352"/>
      <c r="AE261" s="352"/>
      <c r="AF261" s="352" t="s">
        <v>180</v>
      </c>
      <c r="AG261" s="352"/>
      <c r="AH261" s="352"/>
      <c r="AI261" s="352"/>
      <c r="AJ261" s="352" t="s">
        <v>516</v>
      </c>
      <c r="AK261" s="352"/>
      <c r="AL261" s="352"/>
      <c r="AM261" s="352"/>
      <c r="AN261" s="352"/>
      <c r="AO261" s="352"/>
      <c r="AP261" s="403" t="s">
        <v>517</v>
      </c>
      <c r="AQ261" s="403"/>
      <c r="AR261" s="403" t="s">
        <v>518</v>
      </c>
      <c r="AS261" s="403"/>
    </row>
    <row r="262" spans="1:45" ht="10.5" customHeight="1">
      <c r="A262" s="343" t="s">
        <v>2386</v>
      </c>
      <c r="B262" s="343"/>
      <c r="C262" s="343"/>
      <c r="D262" s="343"/>
      <c r="E262" s="348" t="s">
        <v>1825</v>
      </c>
      <c r="F262" s="348"/>
      <c r="G262" s="348"/>
      <c r="H262" s="343" t="s">
        <v>2299</v>
      </c>
      <c r="I262" s="343"/>
      <c r="J262" s="343"/>
      <c r="K262" s="343"/>
      <c r="L262" s="343"/>
      <c r="M262" s="343"/>
      <c r="N262" s="343"/>
      <c r="O262" s="343"/>
      <c r="P262" s="343"/>
      <c r="Q262" s="343"/>
      <c r="R262" s="343"/>
      <c r="S262" s="343"/>
      <c r="T262" s="343"/>
      <c r="U262" s="343"/>
      <c r="V262" s="343"/>
      <c r="W262" s="343"/>
      <c r="X262" s="343"/>
      <c r="Y262" s="343"/>
      <c r="Z262" s="352" t="s">
        <v>519</v>
      </c>
      <c r="AA262" s="352"/>
      <c r="AB262" s="352"/>
      <c r="AC262" s="352"/>
      <c r="AD262" s="352"/>
      <c r="AE262" s="352"/>
      <c r="AF262" s="352" t="s">
        <v>520</v>
      </c>
      <c r="AG262" s="352"/>
      <c r="AH262" s="352"/>
      <c r="AI262" s="352"/>
      <c r="AJ262" s="352" t="s">
        <v>521</v>
      </c>
      <c r="AK262" s="352"/>
      <c r="AL262" s="352"/>
      <c r="AM262" s="352"/>
      <c r="AN262" s="352"/>
      <c r="AO262" s="352"/>
      <c r="AP262" s="403" t="s">
        <v>522</v>
      </c>
      <c r="AQ262" s="403"/>
      <c r="AR262" s="403" t="s">
        <v>523</v>
      </c>
      <c r="AS262" s="403"/>
    </row>
    <row r="263" spans="1:45" ht="10.5" customHeight="1">
      <c r="A263" s="343" t="s">
        <v>2386</v>
      </c>
      <c r="B263" s="343"/>
      <c r="C263" s="343"/>
      <c r="D263" s="343"/>
      <c r="E263" s="348" t="s">
        <v>1830</v>
      </c>
      <c r="F263" s="348"/>
      <c r="G263" s="348"/>
      <c r="H263" s="343" t="s">
        <v>2300</v>
      </c>
      <c r="I263" s="343"/>
      <c r="J263" s="343"/>
      <c r="K263" s="343"/>
      <c r="L263" s="343"/>
      <c r="M263" s="343"/>
      <c r="N263" s="343"/>
      <c r="O263" s="343"/>
      <c r="P263" s="343"/>
      <c r="Q263" s="343"/>
      <c r="R263" s="343"/>
      <c r="S263" s="343"/>
      <c r="T263" s="343"/>
      <c r="U263" s="343"/>
      <c r="V263" s="343"/>
      <c r="W263" s="343"/>
      <c r="X263" s="343"/>
      <c r="Y263" s="343"/>
      <c r="Z263" s="352" t="s">
        <v>524</v>
      </c>
      <c r="AA263" s="352"/>
      <c r="AB263" s="352"/>
      <c r="AC263" s="352"/>
      <c r="AD263" s="352"/>
      <c r="AE263" s="352"/>
      <c r="AF263" s="352" t="s">
        <v>525</v>
      </c>
      <c r="AG263" s="352"/>
      <c r="AH263" s="352"/>
      <c r="AI263" s="352"/>
      <c r="AJ263" s="352" t="s">
        <v>526</v>
      </c>
      <c r="AK263" s="352"/>
      <c r="AL263" s="352"/>
      <c r="AM263" s="352"/>
      <c r="AN263" s="352"/>
      <c r="AO263" s="352"/>
      <c r="AP263" s="403" t="s">
        <v>527</v>
      </c>
      <c r="AQ263" s="403"/>
      <c r="AR263" s="403" t="s">
        <v>528</v>
      </c>
      <c r="AS263" s="403"/>
    </row>
    <row r="264" spans="1:45" ht="10.5" customHeight="1">
      <c r="A264" s="343" t="s">
        <v>2386</v>
      </c>
      <c r="B264" s="343"/>
      <c r="C264" s="343"/>
      <c r="D264" s="343"/>
      <c r="E264" s="348" t="s">
        <v>1835</v>
      </c>
      <c r="F264" s="348"/>
      <c r="G264" s="348"/>
      <c r="H264" s="343" t="s">
        <v>1836</v>
      </c>
      <c r="I264" s="343"/>
      <c r="J264" s="343"/>
      <c r="K264" s="343"/>
      <c r="L264" s="343"/>
      <c r="M264" s="343"/>
      <c r="N264" s="343"/>
      <c r="O264" s="343"/>
      <c r="P264" s="343"/>
      <c r="Q264" s="343"/>
      <c r="R264" s="343"/>
      <c r="S264" s="343"/>
      <c r="T264" s="343"/>
      <c r="U264" s="343"/>
      <c r="V264" s="343"/>
      <c r="W264" s="343"/>
      <c r="X264" s="343"/>
      <c r="Y264" s="343"/>
      <c r="Z264" s="352" t="s">
        <v>2465</v>
      </c>
      <c r="AA264" s="352"/>
      <c r="AB264" s="352"/>
      <c r="AC264" s="352"/>
      <c r="AD264" s="352"/>
      <c r="AE264" s="352"/>
      <c r="AF264" s="352" t="s">
        <v>123</v>
      </c>
      <c r="AG264" s="352"/>
      <c r="AH264" s="352"/>
      <c r="AI264" s="352"/>
      <c r="AJ264" s="352" t="s">
        <v>529</v>
      </c>
      <c r="AK264" s="352"/>
      <c r="AL264" s="352"/>
      <c r="AM264" s="352"/>
      <c r="AN264" s="352"/>
      <c r="AO264" s="352"/>
      <c r="AP264" s="403" t="s">
        <v>530</v>
      </c>
      <c r="AQ264" s="403"/>
      <c r="AR264" s="403" t="s">
        <v>531</v>
      </c>
      <c r="AS264" s="403"/>
    </row>
    <row r="265" spans="1:45" ht="10.5" customHeight="1">
      <c r="A265" s="343" t="s">
        <v>2386</v>
      </c>
      <c r="B265" s="343"/>
      <c r="C265" s="343"/>
      <c r="D265" s="343"/>
      <c r="E265" s="348" t="s">
        <v>1855</v>
      </c>
      <c r="F265" s="348"/>
      <c r="G265" s="348"/>
      <c r="H265" s="343" t="s">
        <v>1856</v>
      </c>
      <c r="I265" s="343"/>
      <c r="J265" s="343"/>
      <c r="K265" s="343"/>
      <c r="L265" s="343"/>
      <c r="M265" s="343"/>
      <c r="N265" s="343"/>
      <c r="O265" s="343"/>
      <c r="P265" s="343"/>
      <c r="Q265" s="343"/>
      <c r="R265" s="343"/>
      <c r="S265" s="343"/>
      <c r="T265" s="343"/>
      <c r="U265" s="343"/>
      <c r="V265" s="343"/>
      <c r="W265" s="343"/>
      <c r="X265" s="343"/>
      <c r="Y265" s="343"/>
      <c r="Z265" s="352" t="s">
        <v>480</v>
      </c>
      <c r="AA265" s="352"/>
      <c r="AB265" s="352"/>
      <c r="AC265" s="352"/>
      <c r="AD265" s="352"/>
      <c r="AE265" s="352"/>
      <c r="AF265" s="352" t="s">
        <v>480</v>
      </c>
      <c r="AG265" s="352"/>
      <c r="AH265" s="352"/>
      <c r="AI265" s="352"/>
      <c r="AJ265" s="352" t="s">
        <v>532</v>
      </c>
      <c r="AK265" s="352"/>
      <c r="AL265" s="352"/>
      <c r="AM265" s="352"/>
      <c r="AN265" s="352"/>
      <c r="AO265" s="352"/>
      <c r="AP265" s="403" t="s">
        <v>533</v>
      </c>
      <c r="AQ265" s="403"/>
      <c r="AR265" s="403" t="s">
        <v>533</v>
      </c>
      <c r="AS265" s="403"/>
    </row>
    <row r="266" spans="1:45" ht="10.5" customHeight="1">
      <c r="A266" s="343" t="s">
        <v>2386</v>
      </c>
      <c r="B266" s="343"/>
      <c r="C266" s="343"/>
      <c r="D266" s="343"/>
      <c r="E266" s="348" t="s">
        <v>1860</v>
      </c>
      <c r="F266" s="348"/>
      <c r="G266" s="348"/>
      <c r="H266" s="343" t="s">
        <v>1861</v>
      </c>
      <c r="I266" s="343"/>
      <c r="J266" s="343"/>
      <c r="K266" s="343"/>
      <c r="L266" s="343"/>
      <c r="M266" s="343"/>
      <c r="N266" s="343"/>
      <c r="O266" s="343"/>
      <c r="P266" s="343"/>
      <c r="Q266" s="343"/>
      <c r="R266" s="343"/>
      <c r="S266" s="343"/>
      <c r="T266" s="343"/>
      <c r="U266" s="343"/>
      <c r="V266" s="343"/>
      <c r="W266" s="343"/>
      <c r="X266" s="343"/>
      <c r="Y266" s="343"/>
      <c r="Z266" s="352" t="s">
        <v>534</v>
      </c>
      <c r="AA266" s="352"/>
      <c r="AB266" s="352"/>
      <c r="AC266" s="352"/>
      <c r="AD266" s="352"/>
      <c r="AE266" s="352"/>
      <c r="AF266" s="352" t="s">
        <v>1613</v>
      </c>
      <c r="AG266" s="352"/>
      <c r="AH266" s="352"/>
      <c r="AI266" s="352"/>
      <c r="AJ266" s="352" t="s">
        <v>535</v>
      </c>
      <c r="AK266" s="352"/>
      <c r="AL266" s="352"/>
      <c r="AM266" s="352"/>
      <c r="AN266" s="352"/>
      <c r="AO266" s="352"/>
      <c r="AP266" s="403" t="s">
        <v>536</v>
      </c>
      <c r="AQ266" s="403"/>
      <c r="AR266" s="403" t="s">
        <v>537</v>
      </c>
      <c r="AS266" s="403"/>
    </row>
    <row r="267" spans="1:45" ht="10.5" customHeight="1">
      <c r="A267" s="343" t="s">
        <v>2386</v>
      </c>
      <c r="B267" s="343"/>
      <c r="C267" s="343"/>
      <c r="D267" s="343"/>
      <c r="E267" s="348" t="s">
        <v>1865</v>
      </c>
      <c r="F267" s="348"/>
      <c r="G267" s="348"/>
      <c r="H267" s="343" t="s">
        <v>2304</v>
      </c>
      <c r="I267" s="343"/>
      <c r="J267" s="343"/>
      <c r="K267" s="343"/>
      <c r="L267" s="343"/>
      <c r="M267" s="343"/>
      <c r="N267" s="343"/>
      <c r="O267" s="343"/>
      <c r="P267" s="343"/>
      <c r="Q267" s="343"/>
      <c r="R267" s="343"/>
      <c r="S267" s="343"/>
      <c r="T267" s="343"/>
      <c r="U267" s="343"/>
      <c r="V267" s="343"/>
      <c r="W267" s="343"/>
      <c r="X267" s="343"/>
      <c r="Y267" s="343"/>
      <c r="Z267" s="352" t="s">
        <v>538</v>
      </c>
      <c r="AA267" s="352"/>
      <c r="AB267" s="352"/>
      <c r="AC267" s="352"/>
      <c r="AD267" s="352"/>
      <c r="AE267" s="352"/>
      <c r="AF267" s="352" t="s">
        <v>539</v>
      </c>
      <c r="AG267" s="352"/>
      <c r="AH267" s="352"/>
      <c r="AI267" s="352"/>
      <c r="AJ267" s="352" t="s">
        <v>540</v>
      </c>
      <c r="AK267" s="352"/>
      <c r="AL267" s="352"/>
      <c r="AM267" s="352"/>
      <c r="AN267" s="352"/>
      <c r="AO267" s="352"/>
      <c r="AP267" s="403" t="s">
        <v>541</v>
      </c>
      <c r="AQ267" s="403"/>
      <c r="AR267" s="403" t="s">
        <v>542</v>
      </c>
      <c r="AS267" s="403"/>
    </row>
    <row r="268" spans="1:45" ht="10.5" customHeight="1">
      <c r="A268" s="343" t="s">
        <v>2386</v>
      </c>
      <c r="B268" s="343"/>
      <c r="C268" s="343"/>
      <c r="D268" s="343"/>
      <c r="E268" s="348" t="s">
        <v>1875</v>
      </c>
      <c r="F268" s="348"/>
      <c r="G268" s="348"/>
      <c r="H268" s="343" t="s">
        <v>1876</v>
      </c>
      <c r="I268" s="343"/>
      <c r="J268" s="343"/>
      <c r="K268" s="343"/>
      <c r="L268" s="343"/>
      <c r="M268" s="343"/>
      <c r="N268" s="343"/>
      <c r="O268" s="343"/>
      <c r="P268" s="343"/>
      <c r="Q268" s="343"/>
      <c r="R268" s="343"/>
      <c r="S268" s="343"/>
      <c r="T268" s="343"/>
      <c r="U268" s="343"/>
      <c r="V268" s="343"/>
      <c r="W268" s="343"/>
      <c r="X268" s="343"/>
      <c r="Y268" s="343"/>
      <c r="Z268" s="352" t="s">
        <v>543</v>
      </c>
      <c r="AA268" s="352"/>
      <c r="AB268" s="352"/>
      <c r="AC268" s="352"/>
      <c r="AD268" s="352"/>
      <c r="AE268" s="352"/>
      <c r="AF268" s="352" t="s">
        <v>544</v>
      </c>
      <c r="AG268" s="352"/>
      <c r="AH268" s="352"/>
      <c r="AI268" s="352"/>
      <c r="AJ268" s="352" t="s">
        <v>545</v>
      </c>
      <c r="AK268" s="352"/>
      <c r="AL268" s="352"/>
      <c r="AM268" s="352"/>
      <c r="AN268" s="352"/>
      <c r="AO268" s="352"/>
      <c r="AP268" s="403" t="s">
        <v>546</v>
      </c>
      <c r="AQ268" s="403"/>
      <c r="AR268" s="403" t="s">
        <v>547</v>
      </c>
      <c r="AS268" s="403"/>
    </row>
    <row r="269" spans="1:45" ht="10.5" customHeight="1">
      <c r="A269" s="343" t="s">
        <v>2386</v>
      </c>
      <c r="B269" s="343"/>
      <c r="C269" s="343"/>
      <c r="D269" s="343"/>
      <c r="E269" s="348" t="s">
        <v>1880</v>
      </c>
      <c r="F269" s="348"/>
      <c r="G269" s="348"/>
      <c r="H269" s="343" t="s">
        <v>1881</v>
      </c>
      <c r="I269" s="343"/>
      <c r="J269" s="343"/>
      <c r="K269" s="343"/>
      <c r="L269" s="343"/>
      <c r="M269" s="343"/>
      <c r="N269" s="343"/>
      <c r="O269" s="343"/>
      <c r="P269" s="343"/>
      <c r="Q269" s="343"/>
      <c r="R269" s="343"/>
      <c r="S269" s="343"/>
      <c r="T269" s="343"/>
      <c r="U269" s="343"/>
      <c r="V269" s="343"/>
      <c r="W269" s="343"/>
      <c r="X269" s="343"/>
      <c r="Y269" s="343"/>
      <c r="Z269" s="352" t="s">
        <v>113</v>
      </c>
      <c r="AA269" s="352"/>
      <c r="AB269" s="352"/>
      <c r="AC269" s="352"/>
      <c r="AD269" s="352"/>
      <c r="AE269" s="352"/>
      <c r="AF269" s="352" t="s">
        <v>548</v>
      </c>
      <c r="AG269" s="352"/>
      <c r="AH269" s="352"/>
      <c r="AI269" s="352"/>
      <c r="AJ269" s="352" t="s">
        <v>549</v>
      </c>
      <c r="AK269" s="352"/>
      <c r="AL269" s="352"/>
      <c r="AM269" s="352"/>
      <c r="AN269" s="352"/>
      <c r="AO269" s="352"/>
      <c r="AP269" s="403" t="s">
        <v>550</v>
      </c>
      <c r="AQ269" s="403"/>
      <c r="AR269" s="403" t="s">
        <v>211</v>
      </c>
      <c r="AS269" s="403"/>
    </row>
    <row r="270" spans="1:45" ht="10.5" customHeight="1">
      <c r="A270" s="343" t="s">
        <v>2386</v>
      </c>
      <c r="B270" s="343"/>
      <c r="C270" s="343"/>
      <c r="D270" s="343"/>
      <c r="E270" s="348" t="s">
        <v>1885</v>
      </c>
      <c r="F270" s="348"/>
      <c r="G270" s="348"/>
      <c r="H270" s="343" t="s">
        <v>1886</v>
      </c>
      <c r="I270" s="343"/>
      <c r="J270" s="343"/>
      <c r="K270" s="343"/>
      <c r="L270" s="343"/>
      <c r="M270" s="343"/>
      <c r="N270" s="343"/>
      <c r="O270" s="343"/>
      <c r="P270" s="343"/>
      <c r="Q270" s="343"/>
      <c r="R270" s="343"/>
      <c r="S270" s="343"/>
      <c r="T270" s="343"/>
      <c r="U270" s="343"/>
      <c r="V270" s="343"/>
      <c r="W270" s="343"/>
      <c r="X270" s="343"/>
      <c r="Y270" s="343"/>
      <c r="Z270" s="352" t="s">
        <v>551</v>
      </c>
      <c r="AA270" s="352"/>
      <c r="AB270" s="352"/>
      <c r="AC270" s="352"/>
      <c r="AD270" s="352"/>
      <c r="AE270" s="352"/>
      <c r="AF270" s="352" t="s">
        <v>552</v>
      </c>
      <c r="AG270" s="352"/>
      <c r="AH270" s="352"/>
      <c r="AI270" s="352"/>
      <c r="AJ270" s="352" t="s">
        <v>553</v>
      </c>
      <c r="AK270" s="352"/>
      <c r="AL270" s="352"/>
      <c r="AM270" s="352"/>
      <c r="AN270" s="352"/>
      <c r="AO270" s="352"/>
      <c r="AP270" s="403" t="s">
        <v>554</v>
      </c>
      <c r="AQ270" s="403"/>
      <c r="AR270" s="403" t="s">
        <v>555</v>
      </c>
      <c r="AS270" s="403"/>
    </row>
    <row r="271" spans="1:45" ht="10.5" customHeight="1">
      <c r="A271" s="343" t="s">
        <v>2386</v>
      </c>
      <c r="B271" s="343"/>
      <c r="C271" s="343"/>
      <c r="D271" s="343"/>
      <c r="E271" s="348" t="s">
        <v>1890</v>
      </c>
      <c r="F271" s="348"/>
      <c r="G271" s="348"/>
      <c r="H271" s="343" t="s">
        <v>1891</v>
      </c>
      <c r="I271" s="343"/>
      <c r="J271" s="343"/>
      <c r="K271" s="343"/>
      <c r="L271" s="343"/>
      <c r="M271" s="343"/>
      <c r="N271" s="343"/>
      <c r="O271" s="343"/>
      <c r="P271" s="343"/>
      <c r="Q271" s="343"/>
      <c r="R271" s="343"/>
      <c r="S271" s="343"/>
      <c r="T271" s="343"/>
      <c r="U271" s="343"/>
      <c r="V271" s="343"/>
      <c r="W271" s="343"/>
      <c r="X271" s="343"/>
      <c r="Y271" s="343"/>
      <c r="Z271" s="352" t="s">
        <v>105</v>
      </c>
      <c r="AA271" s="352"/>
      <c r="AB271" s="352"/>
      <c r="AC271" s="352"/>
      <c r="AD271" s="352"/>
      <c r="AE271" s="352"/>
      <c r="AF271" s="352" t="s">
        <v>432</v>
      </c>
      <c r="AG271" s="352"/>
      <c r="AH271" s="352"/>
      <c r="AI271" s="352"/>
      <c r="AJ271" s="352" t="s">
        <v>556</v>
      </c>
      <c r="AK271" s="352"/>
      <c r="AL271" s="352"/>
      <c r="AM271" s="352"/>
      <c r="AN271" s="352"/>
      <c r="AO271" s="352"/>
      <c r="AP271" s="403" t="s">
        <v>557</v>
      </c>
      <c r="AQ271" s="403"/>
      <c r="AR271" s="403" t="s">
        <v>558</v>
      </c>
      <c r="AS271" s="403"/>
    </row>
    <row r="272" spans="1:45" ht="10.5" customHeight="1" thickBot="1">
      <c r="A272" s="343" t="s">
        <v>2386</v>
      </c>
      <c r="B272" s="343"/>
      <c r="C272" s="343"/>
      <c r="D272" s="343"/>
      <c r="E272" s="348" t="s">
        <v>1900</v>
      </c>
      <c r="F272" s="348"/>
      <c r="G272" s="348"/>
      <c r="H272" s="343" t="s">
        <v>1901</v>
      </c>
      <c r="I272" s="343"/>
      <c r="J272" s="343"/>
      <c r="K272" s="343"/>
      <c r="L272" s="343"/>
      <c r="M272" s="343"/>
      <c r="N272" s="343"/>
      <c r="O272" s="343"/>
      <c r="P272" s="343"/>
      <c r="Q272" s="343"/>
      <c r="R272" s="343"/>
      <c r="S272" s="343"/>
      <c r="T272" s="343"/>
      <c r="U272" s="343"/>
      <c r="V272" s="343"/>
      <c r="W272" s="343"/>
      <c r="X272" s="343"/>
      <c r="Y272" s="343"/>
      <c r="Z272" s="352" t="s">
        <v>559</v>
      </c>
      <c r="AA272" s="352"/>
      <c r="AB272" s="352"/>
      <c r="AC272" s="352"/>
      <c r="AD272" s="352"/>
      <c r="AE272" s="352"/>
      <c r="AF272" s="352" t="s">
        <v>113</v>
      </c>
      <c r="AG272" s="352"/>
      <c r="AH272" s="352"/>
      <c r="AI272" s="352"/>
      <c r="AJ272" s="352" t="s">
        <v>560</v>
      </c>
      <c r="AK272" s="352"/>
      <c r="AL272" s="352"/>
      <c r="AM272" s="352"/>
      <c r="AN272" s="352"/>
      <c r="AO272" s="352"/>
      <c r="AP272" s="403" t="s">
        <v>561</v>
      </c>
      <c r="AQ272" s="403"/>
      <c r="AR272" s="403" t="s">
        <v>562</v>
      </c>
      <c r="AS272" s="403"/>
    </row>
    <row r="273" spans="1:45" ht="9" customHeight="1">
      <c r="A273" s="350" t="s">
        <v>2330</v>
      </c>
      <c r="B273" s="350"/>
      <c r="C273" s="350"/>
      <c r="D273" s="350"/>
      <c r="E273" s="350" t="s">
        <v>2287</v>
      </c>
      <c r="F273" s="350"/>
      <c r="G273" s="350"/>
      <c r="H273" s="350" t="s">
        <v>1574</v>
      </c>
      <c r="I273" s="350"/>
      <c r="J273" s="350"/>
      <c r="K273" s="350"/>
      <c r="L273" s="350"/>
      <c r="M273" s="350"/>
      <c r="N273" s="350"/>
      <c r="O273" s="350"/>
      <c r="P273" s="350"/>
      <c r="Q273" s="350"/>
      <c r="R273" s="350"/>
      <c r="S273" s="350"/>
      <c r="T273" s="350"/>
      <c r="U273" s="350"/>
      <c r="V273" s="350"/>
      <c r="W273" s="350"/>
      <c r="X273" s="350"/>
      <c r="Y273" s="350"/>
      <c r="Z273" s="351" t="s">
        <v>1575</v>
      </c>
      <c r="AA273" s="351"/>
      <c r="AB273" s="351"/>
      <c r="AC273" s="351"/>
      <c r="AD273" s="351"/>
      <c r="AE273" s="351"/>
      <c r="AF273" s="351" t="s">
        <v>1576</v>
      </c>
      <c r="AG273" s="351"/>
      <c r="AH273" s="351"/>
      <c r="AI273" s="351"/>
      <c r="AJ273" s="351" t="s">
        <v>2331</v>
      </c>
      <c r="AK273" s="351"/>
      <c r="AL273" s="351"/>
      <c r="AM273" s="351"/>
      <c r="AN273" s="351"/>
      <c r="AO273" s="351"/>
      <c r="AP273" s="351" t="s">
        <v>2332</v>
      </c>
      <c r="AQ273" s="351"/>
      <c r="AR273" s="351" t="s">
        <v>2333</v>
      </c>
      <c r="AS273" s="351"/>
    </row>
    <row r="274" spans="1:45" ht="9.75" customHeight="1" thickBot="1">
      <c r="A274" s="398" t="s">
        <v>2334</v>
      </c>
      <c r="B274" s="398"/>
      <c r="C274" s="398"/>
      <c r="D274" s="398"/>
      <c r="E274" s="398" t="s">
        <v>2335</v>
      </c>
      <c r="F274" s="398"/>
      <c r="G274" s="398"/>
      <c r="H274" s="399"/>
      <c r="I274" s="399"/>
      <c r="J274" s="399"/>
      <c r="K274" s="399"/>
      <c r="L274" s="399"/>
      <c r="M274" s="399"/>
      <c r="N274" s="399"/>
      <c r="O274" s="399"/>
      <c r="P274" s="399"/>
      <c r="Q274" s="399"/>
      <c r="R274" s="399"/>
      <c r="S274" s="399"/>
      <c r="T274" s="399"/>
      <c r="U274" s="399"/>
      <c r="V274" s="399"/>
      <c r="W274" s="399"/>
      <c r="X274" s="399"/>
      <c r="Y274" s="399"/>
      <c r="Z274" s="399" t="s">
        <v>1659</v>
      </c>
      <c r="AA274" s="399"/>
      <c r="AB274" s="399"/>
      <c r="AC274" s="399"/>
      <c r="AD274" s="399"/>
      <c r="AE274" s="399"/>
      <c r="AF274" s="399" t="s">
        <v>1729</v>
      </c>
      <c r="AG274" s="399"/>
      <c r="AH274" s="399"/>
      <c r="AI274" s="399"/>
      <c r="AJ274" s="399" t="s">
        <v>2336</v>
      </c>
      <c r="AK274" s="399"/>
      <c r="AL274" s="399"/>
      <c r="AM274" s="399"/>
      <c r="AN274" s="399"/>
      <c r="AO274" s="399"/>
      <c r="AP274" s="399"/>
      <c r="AQ274" s="399"/>
      <c r="AR274" s="399"/>
      <c r="AS274" s="399"/>
    </row>
    <row r="275" spans="1:45" ht="4.5" customHeight="1">
      <c r="A275" s="400"/>
      <c r="B275" s="400"/>
      <c r="C275" s="400"/>
      <c r="D275" s="400"/>
      <c r="E275" s="400"/>
      <c r="F275" s="400"/>
      <c r="G275" s="400"/>
      <c r="H275" s="400"/>
      <c r="I275" s="400"/>
      <c r="J275" s="400"/>
      <c r="K275" s="400"/>
      <c r="L275" s="400"/>
      <c r="M275" s="400"/>
      <c r="N275" s="400"/>
      <c r="O275" s="400"/>
      <c r="P275" s="400"/>
      <c r="Q275" s="400"/>
      <c r="R275" s="400"/>
      <c r="S275" s="400"/>
      <c r="T275" s="400"/>
      <c r="U275" s="400"/>
      <c r="V275" s="400"/>
      <c r="W275" s="400"/>
      <c r="X275" s="400"/>
      <c r="Y275" s="400"/>
      <c r="Z275" s="401"/>
      <c r="AA275" s="401"/>
      <c r="AB275" s="401"/>
      <c r="AC275" s="401"/>
      <c r="AD275" s="401"/>
      <c r="AE275" s="401"/>
      <c r="AF275" s="401"/>
      <c r="AG275" s="401"/>
      <c r="AH275" s="401"/>
      <c r="AI275" s="401"/>
      <c r="AJ275" s="401"/>
      <c r="AK275" s="401"/>
      <c r="AL275" s="401"/>
      <c r="AM275" s="401"/>
      <c r="AN275" s="401"/>
      <c r="AO275" s="401"/>
      <c r="AP275" s="402"/>
      <c r="AQ275" s="402"/>
      <c r="AR275" s="402"/>
      <c r="AS275" s="402"/>
    </row>
    <row r="276" spans="1:45" ht="10.5" customHeight="1">
      <c r="A276" s="343" t="s">
        <v>2386</v>
      </c>
      <c r="B276" s="343"/>
      <c r="C276" s="343"/>
      <c r="D276" s="343"/>
      <c r="E276" s="348" t="s">
        <v>1905</v>
      </c>
      <c r="F276" s="348"/>
      <c r="G276" s="348"/>
      <c r="H276" s="343" t="s">
        <v>1906</v>
      </c>
      <c r="I276" s="343"/>
      <c r="J276" s="343"/>
      <c r="K276" s="343"/>
      <c r="L276" s="343"/>
      <c r="M276" s="343"/>
      <c r="N276" s="343"/>
      <c r="O276" s="343"/>
      <c r="P276" s="343"/>
      <c r="Q276" s="343"/>
      <c r="R276" s="343"/>
      <c r="S276" s="343"/>
      <c r="T276" s="343"/>
      <c r="U276" s="343"/>
      <c r="V276" s="343"/>
      <c r="W276" s="343"/>
      <c r="X276" s="343"/>
      <c r="Y276" s="343"/>
      <c r="Z276" s="352" t="s">
        <v>563</v>
      </c>
      <c r="AA276" s="352"/>
      <c r="AB276" s="352"/>
      <c r="AC276" s="352"/>
      <c r="AD276" s="352"/>
      <c r="AE276" s="352"/>
      <c r="AF276" s="352" t="s">
        <v>564</v>
      </c>
      <c r="AG276" s="352"/>
      <c r="AH276" s="352"/>
      <c r="AI276" s="352"/>
      <c r="AJ276" s="352" t="s">
        <v>565</v>
      </c>
      <c r="AK276" s="352"/>
      <c r="AL276" s="352"/>
      <c r="AM276" s="352"/>
      <c r="AN276" s="352"/>
      <c r="AO276" s="352"/>
      <c r="AP276" s="403" t="s">
        <v>566</v>
      </c>
      <c r="AQ276" s="403"/>
      <c r="AR276" s="403" t="s">
        <v>2398</v>
      </c>
      <c r="AS276" s="403"/>
    </row>
    <row r="277" spans="1:45" ht="10.5" customHeight="1">
      <c r="A277" s="343" t="s">
        <v>2386</v>
      </c>
      <c r="B277" s="343"/>
      <c r="C277" s="343"/>
      <c r="D277" s="343"/>
      <c r="E277" s="348" t="s">
        <v>1910</v>
      </c>
      <c r="F277" s="348"/>
      <c r="G277" s="348"/>
      <c r="H277" s="343" t="s">
        <v>1911</v>
      </c>
      <c r="I277" s="343"/>
      <c r="J277" s="343"/>
      <c r="K277" s="343"/>
      <c r="L277" s="343"/>
      <c r="M277" s="343"/>
      <c r="N277" s="343"/>
      <c r="O277" s="343"/>
      <c r="P277" s="343"/>
      <c r="Q277" s="343"/>
      <c r="R277" s="343"/>
      <c r="S277" s="343"/>
      <c r="T277" s="343"/>
      <c r="U277" s="343"/>
      <c r="V277" s="343"/>
      <c r="W277" s="343"/>
      <c r="X277" s="343"/>
      <c r="Y277" s="343"/>
      <c r="Z277" s="352" t="s">
        <v>567</v>
      </c>
      <c r="AA277" s="352"/>
      <c r="AB277" s="352"/>
      <c r="AC277" s="352"/>
      <c r="AD277" s="352"/>
      <c r="AE277" s="352"/>
      <c r="AF277" s="352" t="s">
        <v>559</v>
      </c>
      <c r="AG277" s="352"/>
      <c r="AH277" s="352"/>
      <c r="AI277" s="352"/>
      <c r="AJ277" s="352" t="s">
        <v>568</v>
      </c>
      <c r="AK277" s="352"/>
      <c r="AL277" s="352"/>
      <c r="AM277" s="352"/>
      <c r="AN277" s="352"/>
      <c r="AO277" s="352"/>
      <c r="AP277" s="403" t="s">
        <v>569</v>
      </c>
      <c r="AQ277" s="403"/>
      <c r="AR277" s="403" t="s">
        <v>570</v>
      </c>
      <c r="AS277" s="403"/>
    </row>
    <row r="278" spans="1:45" ht="10.5" customHeight="1">
      <c r="A278" s="343" t="s">
        <v>2386</v>
      </c>
      <c r="B278" s="343"/>
      <c r="C278" s="343"/>
      <c r="D278" s="343"/>
      <c r="E278" s="348" t="s">
        <v>1915</v>
      </c>
      <c r="F278" s="348"/>
      <c r="G278" s="348"/>
      <c r="H278" s="343" t="s">
        <v>1916</v>
      </c>
      <c r="I278" s="343"/>
      <c r="J278" s="343"/>
      <c r="K278" s="343"/>
      <c r="L278" s="343"/>
      <c r="M278" s="343"/>
      <c r="N278" s="343"/>
      <c r="O278" s="343"/>
      <c r="P278" s="343"/>
      <c r="Q278" s="343"/>
      <c r="R278" s="343"/>
      <c r="S278" s="343"/>
      <c r="T278" s="343"/>
      <c r="U278" s="343"/>
      <c r="V278" s="343"/>
      <c r="W278" s="343"/>
      <c r="X278" s="343"/>
      <c r="Y278" s="343"/>
      <c r="Z278" s="352" t="s">
        <v>61</v>
      </c>
      <c r="AA278" s="352"/>
      <c r="AB278" s="352"/>
      <c r="AC278" s="352"/>
      <c r="AD278" s="352"/>
      <c r="AE278" s="352"/>
      <c r="AF278" s="352" t="s">
        <v>61</v>
      </c>
      <c r="AG278" s="352"/>
      <c r="AH278" s="352"/>
      <c r="AI278" s="352"/>
      <c r="AJ278" s="352" t="s">
        <v>430</v>
      </c>
      <c r="AK278" s="352"/>
      <c r="AL278" s="352"/>
      <c r="AM278" s="352"/>
      <c r="AN278" s="352"/>
      <c r="AO278" s="352"/>
      <c r="AP278" s="403" t="s">
        <v>571</v>
      </c>
      <c r="AQ278" s="403"/>
      <c r="AR278" s="403" t="s">
        <v>571</v>
      </c>
      <c r="AS278" s="403"/>
    </row>
    <row r="279" spans="1:45" ht="10.5" customHeight="1">
      <c r="A279" s="343" t="s">
        <v>2386</v>
      </c>
      <c r="B279" s="343"/>
      <c r="C279" s="343"/>
      <c r="D279" s="343"/>
      <c r="E279" s="348" t="s">
        <v>1920</v>
      </c>
      <c r="F279" s="348"/>
      <c r="G279" s="348"/>
      <c r="H279" s="343" t="s">
        <v>1921</v>
      </c>
      <c r="I279" s="343"/>
      <c r="J279" s="343"/>
      <c r="K279" s="343"/>
      <c r="L279" s="343"/>
      <c r="M279" s="343"/>
      <c r="N279" s="343"/>
      <c r="O279" s="343"/>
      <c r="P279" s="343"/>
      <c r="Q279" s="343"/>
      <c r="R279" s="343"/>
      <c r="S279" s="343"/>
      <c r="T279" s="343"/>
      <c r="U279" s="343"/>
      <c r="V279" s="343"/>
      <c r="W279" s="343"/>
      <c r="X279" s="343"/>
      <c r="Y279" s="343"/>
      <c r="Z279" s="352" t="s">
        <v>1922</v>
      </c>
      <c r="AA279" s="352"/>
      <c r="AB279" s="352"/>
      <c r="AC279" s="352"/>
      <c r="AD279" s="352"/>
      <c r="AE279" s="352"/>
      <c r="AF279" s="352" t="s">
        <v>1923</v>
      </c>
      <c r="AG279" s="352"/>
      <c r="AH279" s="352"/>
      <c r="AI279" s="352"/>
      <c r="AJ279" s="352" t="s">
        <v>1924</v>
      </c>
      <c r="AK279" s="352"/>
      <c r="AL279" s="352"/>
      <c r="AM279" s="352"/>
      <c r="AN279" s="352"/>
      <c r="AO279" s="352"/>
      <c r="AP279" s="403" t="s">
        <v>572</v>
      </c>
      <c r="AQ279" s="403"/>
      <c r="AR279" s="403" t="s">
        <v>2415</v>
      </c>
      <c r="AS279" s="403"/>
    </row>
    <row r="280" spans="1:45" ht="10.5" customHeight="1">
      <c r="A280" s="343" t="s">
        <v>2386</v>
      </c>
      <c r="B280" s="343"/>
      <c r="C280" s="343"/>
      <c r="D280" s="343"/>
      <c r="E280" s="348" t="s">
        <v>1925</v>
      </c>
      <c r="F280" s="348"/>
      <c r="G280" s="348"/>
      <c r="H280" s="343" t="s">
        <v>1926</v>
      </c>
      <c r="I280" s="343"/>
      <c r="J280" s="343"/>
      <c r="K280" s="343"/>
      <c r="L280" s="343"/>
      <c r="M280" s="343"/>
      <c r="N280" s="343"/>
      <c r="O280" s="343"/>
      <c r="P280" s="343"/>
      <c r="Q280" s="343"/>
      <c r="R280" s="343"/>
      <c r="S280" s="343"/>
      <c r="T280" s="343"/>
      <c r="U280" s="343"/>
      <c r="V280" s="343"/>
      <c r="W280" s="343"/>
      <c r="X280" s="343"/>
      <c r="Y280" s="343"/>
      <c r="Z280" s="352" t="s">
        <v>1857</v>
      </c>
      <c r="AA280" s="352"/>
      <c r="AB280" s="352"/>
      <c r="AC280" s="352"/>
      <c r="AD280" s="352"/>
      <c r="AE280" s="352"/>
      <c r="AF280" s="352" t="s">
        <v>573</v>
      </c>
      <c r="AG280" s="352"/>
      <c r="AH280" s="352"/>
      <c r="AI280" s="352"/>
      <c r="AJ280" s="352" t="s">
        <v>574</v>
      </c>
      <c r="AK280" s="352"/>
      <c r="AL280" s="352"/>
      <c r="AM280" s="352"/>
      <c r="AN280" s="352"/>
      <c r="AO280" s="352"/>
      <c r="AP280" s="403" t="s">
        <v>575</v>
      </c>
      <c r="AQ280" s="403"/>
      <c r="AR280" s="403" t="s">
        <v>576</v>
      </c>
      <c r="AS280" s="403"/>
    </row>
    <row r="281" spans="1:45" ht="10.5" customHeight="1">
      <c r="A281" s="343" t="s">
        <v>2386</v>
      </c>
      <c r="B281" s="343"/>
      <c r="C281" s="343"/>
      <c r="D281" s="343"/>
      <c r="E281" s="348" t="s">
        <v>1930</v>
      </c>
      <c r="F281" s="348"/>
      <c r="G281" s="348"/>
      <c r="H281" s="343" t="s">
        <v>1931</v>
      </c>
      <c r="I281" s="343"/>
      <c r="J281" s="343"/>
      <c r="K281" s="343"/>
      <c r="L281" s="343"/>
      <c r="M281" s="343"/>
      <c r="N281" s="343"/>
      <c r="O281" s="343"/>
      <c r="P281" s="343"/>
      <c r="Q281" s="343"/>
      <c r="R281" s="343"/>
      <c r="S281" s="343"/>
      <c r="T281" s="343"/>
      <c r="U281" s="343"/>
      <c r="V281" s="343"/>
      <c r="W281" s="343"/>
      <c r="X281" s="343"/>
      <c r="Y281" s="343"/>
      <c r="Z281" s="352" t="s">
        <v>577</v>
      </c>
      <c r="AA281" s="352"/>
      <c r="AB281" s="352"/>
      <c r="AC281" s="352"/>
      <c r="AD281" s="352"/>
      <c r="AE281" s="352"/>
      <c r="AF281" s="352" t="s">
        <v>578</v>
      </c>
      <c r="AG281" s="352"/>
      <c r="AH281" s="352"/>
      <c r="AI281" s="352"/>
      <c r="AJ281" s="352" t="s">
        <v>579</v>
      </c>
      <c r="AK281" s="352"/>
      <c r="AL281" s="352"/>
      <c r="AM281" s="352"/>
      <c r="AN281" s="352"/>
      <c r="AO281" s="352"/>
      <c r="AP281" s="403" t="s">
        <v>580</v>
      </c>
      <c r="AQ281" s="403"/>
      <c r="AR281" s="403" t="s">
        <v>581</v>
      </c>
      <c r="AS281" s="403"/>
    </row>
    <row r="282" spans="1:45" ht="10.5" customHeight="1">
      <c r="A282" s="343" t="s">
        <v>2386</v>
      </c>
      <c r="B282" s="343"/>
      <c r="C282" s="343"/>
      <c r="D282" s="343"/>
      <c r="E282" s="348" t="s">
        <v>1940</v>
      </c>
      <c r="F282" s="348"/>
      <c r="G282" s="348"/>
      <c r="H282" s="343" t="s">
        <v>1941</v>
      </c>
      <c r="I282" s="343"/>
      <c r="J282" s="343"/>
      <c r="K282" s="343"/>
      <c r="L282" s="343"/>
      <c r="M282" s="343"/>
      <c r="N282" s="343"/>
      <c r="O282" s="343"/>
      <c r="P282" s="343"/>
      <c r="Q282" s="343"/>
      <c r="R282" s="343"/>
      <c r="S282" s="343"/>
      <c r="T282" s="343"/>
      <c r="U282" s="343"/>
      <c r="V282" s="343"/>
      <c r="W282" s="343"/>
      <c r="X282" s="343"/>
      <c r="Y282" s="343"/>
      <c r="Z282" s="352" t="s">
        <v>582</v>
      </c>
      <c r="AA282" s="352"/>
      <c r="AB282" s="352"/>
      <c r="AC282" s="352"/>
      <c r="AD282" s="352"/>
      <c r="AE282" s="352"/>
      <c r="AF282" s="352" t="s">
        <v>583</v>
      </c>
      <c r="AG282" s="352"/>
      <c r="AH282" s="352"/>
      <c r="AI282" s="352"/>
      <c r="AJ282" s="352" t="s">
        <v>584</v>
      </c>
      <c r="AK282" s="352"/>
      <c r="AL282" s="352"/>
      <c r="AM282" s="352"/>
      <c r="AN282" s="352"/>
      <c r="AO282" s="352"/>
      <c r="AP282" s="403" t="s">
        <v>585</v>
      </c>
      <c r="AQ282" s="403"/>
      <c r="AR282" s="403" t="s">
        <v>586</v>
      </c>
      <c r="AS282" s="403"/>
    </row>
    <row r="283" spans="1:45" ht="10.5" customHeight="1">
      <c r="A283" s="343" t="s">
        <v>2386</v>
      </c>
      <c r="B283" s="343"/>
      <c r="C283" s="343"/>
      <c r="D283" s="343"/>
      <c r="E283" s="348" t="s">
        <v>1945</v>
      </c>
      <c r="F283" s="348"/>
      <c r="G283" s="348"/>
      <c r="H283" s="343" t="s">
        <v>1946</v>
      </c>
      <c r="I283" s="343"/>
      <c r="J283" s="343"/>
      <c r="K283" s="343"/>
      <c r="L283" s="343"/>
      <c r="M283" s="343"/>
      <c r="N283" s="343"/>
      <c r="O283" s="343"/>
      <c r="P283" s="343"/>
      <c r="Q283" s="343"/>
      <c r="R283" s="343"/>
      <c r="S283" s="343"/>
      <c r="T283" s="343"/>
      <c r="U283" s="343"/>
      <c r="V283" s="343"/>
      <c r="W283" s="343"/>
      <c r="X283" s="343"/>
      <c r="Y283" s="343"/>
      <c r="Z283" s="352" t="s">
        <v>1947</v>
      </c>
      <c r="AA283" s="352"/>
      <c r="AB283" s="352"/>
      <c r="AC283" s="352"/>
      <c r="AD283" s="352"/>
      <c r="AE283" s="352"/>
      <c r="AF283" s="352" t="s">
        <v>1948</v>
      </c>
      <c r="AG283" s="352"/>
      <c r="AH283" s="352"/>
      <c r="AI283" s="352"/>
      <c r="AJ283" s="352" t="s">
        <v>1949</v>
      </c>
      <c r="AK283" s="352"/>
      <c r="AL283" s="352"/>
      <c r="AM283" s="352"/>
      <c r="AN283" s="352"/>
      <c r="AO283" s="352"/>
      <c r="AP283" s="403" t="s">
        <v>587</v>
      </c>
      <c r="AQ283" s="403"/>
      <c r="AR283" s="403" t="s">
        <v>588</v>
      </c>
      <c r="AS283" s="403"/>
    </row>
    <row r="284" spans="1:45" ht="10.5" customHeight="1">
      <c r="A284" s="343" t="s">
        <v>2386</v>
      </c>
      <c r="B284" s="343"/>
      <c r="C284" s="343"/>
      <c r="D284" s="343"/>
      <c r="E284" s="348" t="s">
        <v>1950</v>
      </c>
      <c r="F284" s="348"/>
      <c r="G284" s="348"/>
      <c r="H284" s="343" t="s">
        <v>2307</v>
      </c>
      <c r="I284" s="343"/>
      <c r="J284" s="343"/>
      <c r="K284" s="343"/>
      <c r="L284" s="343"/>
      <c r="M284" s="343"/>
      <c r="N284" s="343"/>
      <c r="O284" s="343"/>
      <c r="P284" s="343"/>
      <c r="Q284" s="343"/>
      <c r="R284" s="343"/>
      <c r="S284" s="343"/>
      <c r="T284" s="343"/>
      <c r="U284" s="343"/>
      <c r="V284" s="343"/>
      <c r="W284" s="343"/>
      <c r="X284" s="343"/>
      <c r="Y284" s="343"/>
      <c r="Z284" s="352" t="s">
        <v>1952</v>
      </c>
      <c r="AA284" s="352"/>
      <c r="AB284" s="352"/>
      <c r="AC284" s="352"/>
      <c r="AD284" s="352"/>
      <c r="AE284" s="352"/>
      <c r="AF284" s="352" t="s">
        <v>1952</v>
      </c>
      <c r="AG284" s="352"/>
      <c r="AH284" s="352"/>
      <c r="AI284" s="352"/>
      <c r="AJ284" s="352" t="s">
        <v>589</v>
      </c>
      <c r="AK284" s="352"/>
      <c r="AL284" s="352"/>
      <c r="AM284" s="352"/>
      <c r="AN284" s="352"/>
      <c r="AO284" s="352"/>
      <c r="AP284" s="403" t="s">
        <v>590</v>
      </c>
      <c r="AQ284" s="403"/>
      <c r="AR284" s="403" t="s">
        <v>590</v>
      </c>
      <c r="AS284" s="403"/>
    </row>
    <row r="285" spans="1:45" ht="10.5" customHeight="1">
      <c r="A285" s="343" t="s">
        <v>2386</v>
      </c>
      <c r="B285" s="343"/>
      <c r="C285" s="343"/>
      <c r="D285" s="343"/>
      <c r="E285" s="348" t="s">
        <v>1955</v>
      </c>
      <c r="F285" s="348"/>
      <c r="G285" s="348"/>
      <c r="H285" s="343" t="s">
        <v>1956</v>
      </c>
      <c r="I285" s="343"/>
      <c r="J285" s="343"/>
      <c r="K285" s="343"/>
      <c r="L285" s="343"/>
      <c r="M285" s="343"/>
      <c r="N285" s="343"/>
      <c r="O285" s="343"/>
      <c r="P285" s="343"/>
      <c r="Q285" s="343"/>
      <c r="R285" s="343"/>
      <c r="S285" s="343"/>
      <c r="T285" s="343"/>
      <c r="U285" s="343"/>
      <c r="V285" s="343"/>
      <c r="W285" s="343"/>
      <c r="X285" s="343"/>
      <c r="Y285" s="343"/>
      <c r="Z285" s="352" t="s">
        <v>65</v>
      </c>
      <c r="AA285" s="352"/>
      <c r="AB285" s="352"/>
      <c r="AC285" s="352"/>
      <c r="AD285" s="352"/>
      <c r="AE285" s="352"/>
      <c r="AF285" s="352" t="s">
        <v>61</v>
      </c>
      <c r="AG285" s="352"/>
      <c r="AH285" s="352"/>
      <c r="AI285" s="352"/>
      <c r="AJ285" s="352" t="s">
        <v>591</v>
      </c>
      <c r="AK285" s="352"/>
      <c r="AL285" s="352"/>
      <c r="AM285" s="352"/>
      <c r="AN285" s="352"/>
      <c r="AO285" s="352"/>
      <c r="AP285" s="403" t="s">
        <v>592</v>
      </c>
      <c r="AQ285" s="403"/>
      <c r="AR285" s="403" t="s">
        <v>593</v>
      </c>
      <c r="AS285" s="403"/>
    </row>
    <row r="286" spans="1:45" ht="10.5" customHeight="1">
      <c r="A286" s="343" t="s">
        <v>2386</v>
      </c>
      <c r="B286" s="343"/>
      <c r="C286" s="343"/>
      <c r="D286" s="343"/>
      <c r="E286" s="348" t="s">
        <v>1965</v>
      </c>
      <c r="F286" s="348"/>
      <c r="G286" s="348"/>
      <c r="H286" s="343" t="s">
        <v>479</v>
      </c>
      <c r="I286" s="343"/>
      <c r="J286" s="343"/>
      <c r="K286" s="343"/>
      <c r="L286" s="343"/>
      <c r="M286" s="343"/>
      <c r="N286" s="343"/>
      <c r="O286" s="343"/>
      <c r="P286" s="343"/>
      <c r="Q286" s="343"/>
      <c r="R286" s="343"/>
      <c r="S286" s="343"/>
      <c r="T286" s="343"/>
      <c r="U286" s="343"/>
      <c r="V286" s="343"/>
      <c r="W286" s="343"/>
      <c r="X286" s="343"/>
      <c r="Y286" s="343"/>
      <c r="Z286" s="352" t="s">
        <v>1967</v>
      </c>
      <c r="AA286" s="352"/>
      <c r="AB286" s="352"/>
      <c r="AC286" s="352"/>
      <c r="AD286" s="352"/>
      <c r="AE286" s="352"/>
      <c r="AF286" s="352" t="s">
        <v>594</v>
      </c>
      <c r="AG286" s="352"/>
      <c r="AH286" s="352"/>
      <c r="AI286" s="352"/>
      <c r="AJ286" s="352" t="s">
        <v>595</v>
      </c>
      <c r="AK286" s="352"/>
      <c r="AL286" s="352"/>
      <c r="AM286" s="352"/>
      <c r="AN286" s="352"/>
      <c r="AO286" s="352"/>
      <c r="AP286" s="403" t="s">
        <v>596</v>
      </c>
      <c r="AQ286" s="403"/>
      <c r="AR286" s="403" t="s">
        <v>597</v>
      </c>
      <c r="AS286" s="403"/>
    </row>
    <row r="287" spans="1:45" ht="10.5" customHeight="1">
      <c r="A287" s="343" t="s">
        <v>2386</v>
      </c>
      <c r="B287" s="343"/>
      <c r="C287" s="343"/>
      <c r="D287" s="343"/>
      <c r="E287" s="348" t="s">
        <v>1970</v>
      </c>
      <c r="F287" s="348"/>
      <c r="G287" s="348"/>
      <c r="H287" s="343" t="s">
        <v>1971</v>
      </c>
      <c r="I287" s="343"/>
      <c r="J287" s="343"/>
      <c r="K287" s="343"/>
      <c r="L287" s="343"/>
      <c r="M287" s="343"/>
      <c r="N287" s="343"/>
      <c r="O287" s="343"/>
      <c r="P287" s="343"/>
      <c r="Q287" s="343"/>
      <c r="R287" s="343"/>
      <c r="S287" s="343"/>
      <c r="T287" s="343"/>
      <c r="U287" s="343"/>
      <c r="V287" s="343"/>
      <c r="W287" s="343"/>
      <c r="X287" s="343"/>
      <c r="Y287" s="343"/>
      <c r="Z287" s="352"/>
      <c r="AA287" s="352"/>
      <c r="AB287" s="352"/>
      <c r="AC287" s="352"/>
      <c r="AD287" s="352"/>
      <c r="AE287" s="352"/>
      <c r="AF287" s="352" t="s">
        <v>465</v>
      </c>
      <c r="AG287" s="352"/>
      <c r="AH287" s="352"/>
      <c r="AI287" s="352"/>
      <c r="AJ287" s="352" t="s">
        <v>598</v>
      </c>
      <c r="AK287" s="352"/>
      <c r="AL287" s="352"/>
      <c r="AM287" s="352"/>
      <c r="AN287" s="352"/>
      <c r="AO287" s="352"/>
      <c r="AP287" s="403" t="s">
        <v>2345</v>
      </c>
      <c r="AQ287" s="403"/>
      <c r="AR287" s="403" t="s">
        <v>429</v>
      </c>
      <c r="AS287" s="403"/>
    </row>
    <row r="288" spans="1:45" ht="10.5" customHeight="1">
      <c r="A288" s="343" t="s">
        <v>2386</v>
      </c>
      <c r="B288" s="343"/>
      <c r="C288" s="343"/>
      <c r="D288" s="343"/>
      <c r="E288" s="348" t="s">
        <v>1973</v>
      </c>
      <c r="F288" s="348"/>
      <c r="G288" s="348"/>
      <c r="H288" s="343" t="s">
        <v>599</v>
      </c>
      <c r="I288" s="343"/>
      <c r="J288" s="343"/>
      <c r="K288" s="343"/>
      <c r="L288" s="343"/>
      <c r="M288" s="343"/>
      <c r="N288" s="343"/>
      <c r="O288" s="343"/>
      <c r="P288" s="343"/>
      <c r="Q288" s="343"/>
      <c r="R288" s="343"/>
      <c r="S288" s="343"/>
      <c r="T288" s="343"/>
      <c r="U288" s="343"/>
      <c r="V288" s="343"/>
      <c r="W288" s="343"/>
      <c r="X288" s="343"/>
      <c r="Y288" s="343"/>
      <c r="Z288" s="352" t="s">
        <v>1975</v>
      </c>
      <c r="AA288" s="352"/>
      <c r="AB288" s="352"/>
      <c r="AC288" s="352"/>
      <c r="AD288" s="352"/>
      <c r="AE288" s="352"/>
      <c r="AF288" s="352" t="s">
        <v>1976</v>
      </c>
      <c r="AG288" s="352"/>
      <c r="AH288" s="352"/>
      <c r="AI288" s="352"/>
      <c r="AJ288" s="352" t="s">
        <v>1977</v>
      </c>
      <c r="AK288" s="352"/>
      <c r="AL288" s="352"/>
      <c r="AM288" s="352"/>
      <c r="AN288" s="352"/>
      <c r="AO288" s="352"/>
      <c r="AP288" s="403" t="s">
        <v>600</v>
      </c>
      <c r="AQ288" s="403"/>
      <c r="AR288" s="403" t="s">
        <v>588</v>
      </c>
      <c r="AS288" s="403"/>
    </row>
    <row r="289" spans="1:45" ht="10.5" customHeight="1">
      <c r="A289" s="343" t="s">
        <v>2386</v>
      </c>
      <c r="B289" s="343"/>
      <c r="C289" s="343"/>
      <c r="D289" s="343"/>
      <c r="E289" s="348" t="s">
        <v>1988</v>
      </c>
      <c r="F289" s="348"/>
      <c r="G289" s="348"/>
      <c r="H289" s="343" t="s">
        <v>601</v>
      </c>
      <c r="I289" s="343"/>
      <c r="J289" s="343"/>
      <c r="K289" s="343"/>
      <c r="L289" s="343"/>
      <c r="M289" s="343"/>
      <c r="N289" s="343"/>
      <c r="O289" s="343"/>
      <c r="P289" s="343"/>
      <c r="Q289" s="343"/>
      <c r="R289" s="343"/>
      <c r="S289" s="343"/>
      <c r="T289" s="343"/>
      <c r="U289" s="343"/>
      <c r="V289" s="343"/>
      <c r="W289" s="343"/>
      <c r="X289" s="343"/>
      <c r="Y289" s="343"/>
      <c r="Z289" s="352"/>
      <c r="AA289" s="352"/>
      <c r="AB289" s="352"/>
      <c r="AC289" s="352"/>
      <c r="AD289" s="352"/>
      <c r="AE289" s="352"/>
      <c r="AF289" s="352"/>
      <c r="AG289" s="352"/>
      <c r="AH289" s="352"/>
      <c r="AI289" s="352"/>
      <c r="AJ289" s="352" t="s">
        <v>1990</v>
      </c>
      <c r="AK289" s="352"/>
      <c r="AL289" s="352"/>
      <c r="AM289" s="352"/>
      <c r="AN289" s="352"/>
      <c r="AO289" s="352"/>
      <c r="AP289" s="403" t="s">
        <v>2345</v>
      </c>
      <c r="AQ289" s="403"/>
      <c r="AR289" s="403" t="s">
        <v>2345</v>
      </c>
      <c r="AS289" s="403"/>
    </row>
    <row r="290" spans="1:45" ht="10.5" customHeight="1">
      <c r="A290" s="343" t="s">
        <v>2386</v>
      </c>
      <c r="B290" s="343"/>
      <c r="C290" s="343"/>
      <c r="D290" s="343"/>
      <c r="E290" s="348" t="s">
        <v>1991</v>
      </c>
      <c r="F290" s="348"/>
      <c r="G290" s="348"/>
      <c r="H290" s="343" t="s">
        <v>602</v>
      </c>
      <c r="I290" s="343"/>
      <c r="J290" s="343"/>
      <c r="K290" s="343"/>
      <c r="L290" s="343"/>
      <c r="M290" s="343"/>
      <c r="N290" s="343"/>
      <c r="O290" s="343"/>
      <c r="P290" s="343"/>
      <c r="Q290" s="343"/>
      <c r="R290" s="343"/>
      <c r="S290" s="343"/>
      <c r="T290" s="343"/>
      <c r="U290" s="343"/>
      <c r="V290" s="343"/>
      <c r="W290" s="343"/>
      <c r="X290" s="343"/>
      <c r="Y290" s="343"/>
      <c r="Z290" s="352"/>
      <c r="AA290" s="352"/>
      <c r="AB290" s="352"/>
      <c r="AC290" s="352"/>
      <c r="AD290" s="352"/>
      <c r="AE290" s="352"/>
      <c r="AF290" s="352"/>
      <c r="AG290" s="352"/>
      <c r="AH290" s="352"/>
      <c r="AI290" s="352"/>
      <c r="AJ290" s="352" t="s">
        <v>1993</v>
      </c>
      <c r="AK290" s="352"/>
      <c r="AL290" s="352"/>
      <c r="AM290" s="352"/>
      <c r="AN290" s="352"/>
      <c r="AO290" s="352"/>
      <c r="AP290" s="403" t="s">
        <v>2345</v>
      </c>
      <c r="AQ290" s="403"/>
      <c r="AR290" s="403" t="s">
        <v>2345</v>
      </c>
      <c r="AS290" s="403"/>
    </row>
    <row r="291" spans="1:45" ht="10.5" customHeight="1">
      <c r="A291" s="343" t="s">
        <v>2386</v>
      </c>
      <c r="B291" s="343"/>
      <c r="C291" s="343"/>
      <c r="D291" s="343"/>
      <c r="E291" s="348" t="s">
        <v>2013</v>
      </c>
      <c r="F291" s="348"/>
      <c r="G291" s="348"/>
      <c r="H291" s="343" t="s">
        <v>2014</v>
      </c>
      <c r="I291" s="343"/>
      <c r="J291" s="343"/>
      <c r="K291" s="343"/>
      <c r="L291" s="343"/>
      <c r="M291" s="343"/>
      <c r="N291" s="343"/>
      <c r="O291" s="343"/>
      <c r="P291" s="343"/>
      <c r="Q291" s="343"/>
      <c r="R291" s="343"/>
      <c r="S291" s="343"/>
      <c r="T291" s="343"/>
      <c r="U291" s="343"/>
      <c r="V291" s="343"/>
      <c r="W291" s="343"/>
      <c r="X291" s="343"/>
      <c r="Y291" s="343"/>
      <c r="Z291" s="352" t="s">
        <v>2015</v>
      </c>
      <c r="AA291" s="352"/>
      <c r="AB291" s="352"/>
      <c r="AC291" s="352"/>
      <c r="AD291" s="352"/>
      <c r="AE291" s="352"/>
      <c r="AF291" s="352" t="s">
        <v>2015</v>
      </c>
      <c r="AG291" s="352"/>
      <c r="AH291" s="352"/>
      <c r="AI291" s="352"/>
      <c r="AJ291" s="352" t="s">
        <v>603</v>
      </c>
      <c r="AK291" s="352"/>
      <c r="AL291" s="352"/>
      <c r="AM291" s="352"/>
      <c r="AN291" s="352"/>
      <c r="AO291" s="352"/>
      <c r="AP291" s="403" t="s">
        <v>604</v>
      </c>
      <c r="AQ291" s="403"/>
      <c r="AR291" s="403" t="s">
        <v>604</v>
      </c>
      <c r="AS291" s="403"/>
    </row>
    <row r="292" spans="1:45" ht="10.5" customHeight="1">
      <c r="A292" s="343" t="s">
        <v>2386</v>
      </c>
      <c r="B292" s="343"/>
      <c r="C292" s="343"/>
      <c r="D292" s="343"/>
      <c r="E292" s="348" t="s">
        <v>2017</v>
      </c>
      <c r="F292" s="348"/>
      <c r="G292" s="348"/>
      <c r="H292" s="343" t="s">
        <v>2018</v>
      </c>
      <c r="I292" s="343"/>
      <c r="J292" s="343"/>
      <c r="K292" s="343"/>
      <c r="L292" s="343"/>
      <c r="M292" s="343"/>
      <c r="N292" s="343"/>
      <c r="O292" s="343"/>
      <c r="P292" s="343"/>
      <c r="Q292" s="343"/>
      <c r="R292" s="343"/>
      <c r="S292" s="343"/>
      <c r="T292" s="343"/>
      <c r="U292" s="343"/>
      <c r="V292" s="343"/>
      <c r="W292" s="343"/>
      <c r="X292" s="343"/>
      <c r="Y292" s="343"/>
      <c r="Z292" s="352"/>
      <c r="AA292" s="352"/>
      <c r="AB292" s="352"/>
      <c r="AC292" s="352"/>
      <c r="AD292" s="352"/>
      <c r="AE292" s="352"/>
      <c r="AF292" s="352" t="s">
        <v>2019</v>
      </c>
      <c r="AG292" s="352"/>
      <c r="AH292" s="352"/>
      <c r="AI292" s="352"/>
      <c r="AJ292" s="352" t="s">
        <v>2020</v>
      </c>
      <c r="AK292" s="352"/>
      <c r="AL292" s="352"/>
      <c r="AM292" s="352"/>
      <c r="AN292" s="352"/>
      <c r="AO292" s="352"/>
      <c r="AP292" s="403" t="s">
        <v>2345</v>
      </c>
      <c r="AQ292" s="403"/>
      <c r="AR292" s="403" t="s">
        <v>605</v>
      </c>
      <c r="AS292" s="403"/>
    </row>
    <row r="293" spans="1:45" ht="10.5" customHeight="1">
      <c r="A293" s="343" t="s">
        <v>2386</v>
      </c>
      <c r="B293" s="343"/>
      <c r="C293" s="343"/>
      <c r="D293" s="343"/>
      <c r="E293" s="348" t="s">
        <v>2021</v>
      </c>
      <c r="F293" s="348"/>
      <c r="G293" s="348"/>
      <c r="H293" s="343" t="s">
        <v>2022</v>
      </c>
      <c r="I293" s="343"/>
      <c r="J293" s="343"/>
      <c r="K293" s="343"/>
      <c r="L293" s="343"/>
      <c r="M293" s="343"/>
      <c r="N293" s="343"/>
      <c r="O293" s="343"/>
      <c r="P293" s="343"/>
      <c r="Q293" s="343"/>
      <c r="R293" s="343"/>
      <c r="S293" s="343"/>
      <c r="T293" s="343"/>
      <c r="U293" s="343"/>
      <c r="V293" s="343"/>
      <c r="W293" s="343"/>
      <c r="X293" s="343"/>
      <c r="Y293" s="343"/>
      <c r="Z293" s="352"/>
      <c r="AA293" s="352"/>
      <c r="AB293" s="352"/>
      <c r="AC293" s="352"/>
      <c r="AD293" s="352"/>
      <c r="AE293" s="352"/>
      <c r="AF293" s="352"/>
      <c r="AG293" s="352"/>
      <c r="AH293" s="352"/>
      <c r="AI293" s="352"/>
      <c r="AJ293" s="352" t="s">
        <v>2023</v>
      </c>
      <c r="AK293" s="352"/>
      <c r="AL293" s="352"/>
      <c r="AM293" s="352"/>
      <c r="AN293" s="352"/>
      <c r="AO293" s="352"/>
      <c r="AP293" s="403" t="s">
        <v>2345</v>
      </c>
      <c r="AQ293" s="403"/>
      <c r="AR293" s="403" t="s">
        <v>2345</v>
      </c>
      <c r="AS293" s="403"/>
    </row>
    <row r="294" spans="1:45" ht="10.5" customHeight="1">
      <c r="A294" s="343" t="s">
        <v>2386</v>
      </c>
      <c r="B294" s="343"/>
      <c r="C294" s="343"/>
      <c r="D294" s="343"/>
      <c r="E294" s="348" t="s">
        <v>2039</v>
      </c>
      <c r="F294" s="348"/>
      <c r="G294" s="348"/>
      <c r="H294" s="343" t="s">
        <v>2040</v>
      </c>
      <c r="I294" s="343"/>
      <c r="J294" s="343"/>
      <c r="K294" s="343"/>
      <c r="L294" s="343"/>
      <c r="M294" s="343"/>
      <c r="N294" s="343"/>
      <c r="O294" s="343"/>
      <c r="P294" s="343"/>
      <c r="Q294" s="343"/>
      <c r="R294" s="343"/>
      <c r="S294" s="343"/>
      <c r="T294" s="343"/>
      <c r="U294" s="343"/>
      <c r="V294" s="343"/>
      <c r="W294" s="343"/>
      <c r="X294" s="343"/>
      <c r="Y294" s="343"/>
      <c r="Z294" s="352" t="s">
        <v>1770</v>
      </c>
      <c r="AA294" s="352"/>
      <c r="AB294" s="352"/>
      <c r="AC294" s="352"/>
      <c r="AD294" s="352"/>
      <c r="AE294" s="352"/>
      <c r="AF294" s="352" t="s">
        <v>606</v>
      </c>
      <c r="AG294" s="352"/>
      <c r="AH294" s="352"/>
      <c r="AI294" s="352"/>
      <c r="AJ294" s="352" t="s">
        <v>607</v>
      </c>
      <c r="AK294" s="352"/>
      <c r="AL294" s="352"/>
      <c r="AM294" s="352"/>
      <c r="AN294" s="352"/>
      <c r="AO294" s="352"/>
      <c r="AP294" s="403" t="s">
        <v>608</v>
      </c>
      <c r="AQ294" s="403"/>
      <c r="AR294" s="403" t="s">
        <v>609</v>
      </c>
      <c r="AS294" s="403"/>
    </row>
    <row r="295" spans="1:45" ht="10.5" customHeight="1">
      <c r="A295" s="343" t="s">
        <v>2386</v>
      </c>
      <c r="B295" s="343"/>
      <c r="C295" s="343"/>
      <c r="D295" s="343"/>
      <c r="E295" s="348" t="s">
        <v>2049</v>
      </c>
      <c r="F295" s="348"/>
      <c r="G295" s="348"/>
      <c r="H295" s="343" t="s">
        <v>2050</v>
      </c>
      <c r="I295" s="343"/>
      <c r="J295" s="343"/>
      <c r="K295" s="343"/>
      <c r="L295" s="343"/>
      <c r="M295" s="343"/>
      <c r="N295" s="343"/>
      <c r="O295" s="343"/>
      <c r="P295" s="343"/>
      <c r="Q295" s="343"/>
      <c r="R295" s="343"/>
      <c r="S295" s="343"/>
      <c r="T295" s="343"/>
      <c r="U295" s="343"/>
      <c r="V295" s="343"/>
      <c r="W295" s="343"/>
      <c r="X295" s="343"/>
      <c r="Y295" s="343"/>
      <c r="Z295" s="352" t="s">
        <v>2051</v>
      </c>
      <c r="AA295" s="352"/>
      <c r="AB295" s="352"/>
      <c r="AC295" s="352"/>
      <c r="AD295" s="352"/>
      <c r="AE295" s="352"/>
      <c r="AF295" s="352" t="s">
        <v>2051</v>
      </c>
      <c r="AG295" s="352"/>
      <c r="AH295" s="352"/>
      <c r="AI295" s="352"/>
      <c r="AJ295" s="352" t="s">
        <v>2052</v>
      </c>
      <c r="AK295" s="352"/>
      <c r="AL295" s="352"/>
      <c r="AM295" s="352"/>
      <c r="AN295" s="352"/>
      <c r="AO295" s="352"/>
      <c r="AP295" s="403" t="s">
        <v>610</v>
      </c>
      <c r="AQ295" s="403"/>
      <c r="AR295" s="403" t="s">
        <v>610</v>
      </c>
      <c r="AS295" s="403"/>
    </row>
    <row r="296" spans="1:45" ht="10.5" customHeight="1">
      <c r="A296" s="343" t="s">
        <v>2386</v>
      </c>
      <c r="B296" s="343"/>
      <c r="C296" s="343"/>
      <c r="D296" s="343"/>
      <c r="E296" s="348" t="s">
        <v>2057</v>
      </c>
      <c r="F296" s="348"/>
      <c r="G296" s="348"/>
      <c r="H296" s="343" t="s">
        <v>2058</v>
      </c>
      <c r="I296" s="343"/>
      <c r="J296" s="343"/>
      <c r="K296" s="343"/>
      <c r="L296" s="343"/>
      <c r="M296" s="343"/>
      <c r="N296" s="343"/>
      <c r="O296" s="343"/>
      <c r="P296" s="343"/>
      <c r="Q296" s="343"/>
      <c r="R296" s="343"/>
      <c r="S296" s="343"/>
      <c r="T296" s="343"/>
      <c r="U296" s="343"/>
      <c r="V296" s="343"/>
      <c r="W296" s="343"/>
      <c r="X296" s="343"/>
      <c r="Y296" s="343"/>
      <c r="Z296" s="352"/>
      <c r="AA296" s="352"/>
      <c r="AB296" s="352"/>
      <c r="AC296" s="352"/>
      <c r="AD296" s="352"/>
      <c r="AE296" s="352"/>
      <c r="AF296" s="352" t="s">
        <v>2105</v>
      </c>
      <c r="AG296" s="352"/>
      <c r="AH296" s="352"/>
      <c r="AI296" s="352"/>
      <c r="AJ296" s="352"/>
      <c r="AK296" s="352"/>
      <c r="AL296" s="352"/>
      <c r="AM296" s="352"/>
      <c r="AN296" s="352"/>
      <c r="AO296" s="352"/>
      <c r="AP296" s="403" t="s">
        <v>2345</v>
      </c>
      <c r="AQ296" s="403"/>
      <c r="AR296" s="403"/>
      <c r="AS296" s="403"/>
    </row>
    <row r="297" spans="1:45" ht="10.5" customHeight="1">
      <c r="A297" s="343" t="s">
        <v>2386</v>
      </c>
      <c r="B297" s="343"/>
      <c r="C297" s="343"/>
      <c r="D297" s="343"/>
      <c r="E297" s="348" t="s">
        <v>2060</v>
      </c>
      <c r="F297" s="348"/>
      <c r="G297" s="348"/>
      <c r="H297" s="343" t="s">
        <v>611</v>
      </c>
      <c r="I297" s="343"/>
      <c r="J297" s="343"/>
      <c r="K297" s="343"/>
      <c r="L297" s="343"/>
      <c r="M297" s="343"/>
      <c r="N297" s="343"/>
      <c r="O297" s="343"/>
      <c r="P297" s="343"/>
      <c r="Q297" s="343"/>
      <c r="R297" s="343"/>
      <c r="S297" s="343"/>
      <c r="T297" s="343"/>
      <c r="U297" s="343"/>
      <c r="V297" s="343"/>
      <c r="W297" s="343"/>
      <c r="X297" s="343"/>
      <c r="Y297" s="343"/>
      <c r="Z297" s="352" t="s">
        <v>2062</v>
      </c>
      <c r="AA297" s="352"/>
      <c r="AB297" s="352"/>
      <c r="AC297" s="352"/>
      <c r="AD297" s="352"/>
      <c r="AE297" s="352"/>
      <c r="AF297" s="352" t="s">
        <v>2062</v>
      </c>
      <c r="AG297" s="352"/>
      <c r="AH297" s="352"/>
      <c r="AI297" s="352"/>
      <c r="AJ297" s="352" t="s">
        <v>2063</v>
      </c>
      <c r="AK297" s="352"/>
      <c r="AL297" s="352"/>
      <c r="AM297" s="352"/>
      <c r="AN297" s="352"/>
      <c r="AO297" s="352"/>
      <c r="AP297" s="403" t="s">
        <v>612</v>
      </c>
      <c r="AQ297" s="403"/>
      <c r="AR297" s="403" t="s">
        <v>612</v>
      </c>
      <c r="AS297" s="403"/>
    </row>
    <row r="298" spans="1:45" ht="10.5" customHeight="1">
      <c r="A298" s="343" t="s">
        <v>2386</v>
      </c>
      <c r="B298" s="343"/>
      <c r="C298" s="343"/>
      <c r="D298" s="343"/>
      <c r="E298" s="348" t="s">
        <v>2070</v>
      </c>
      <c r="F298" s="348"/>
      <c r="G298" s="348"/>
      <c r="H298" s="343" t="s">
        <v>1946</v>
      </c>
      <c r="I298" s="343"/>
      <c r="J298" s="343"/>
      <c r="K298" s="343"/>
      <c r="L298" s="343"/>
      <c r="M298" s="343"/>
      <c r="N298" s="343"/>
      <c r="O298" s="343"/>
      <c r="P298" s="343"/>
      <c r="Q298" s="343"/>
      <c r="R298" s="343"/>
      <c r="S298" s="343"/>
      <c r="T298" s="343"/>
      <c r="U298" s="343"/>
      <c r="V298" s="343"/>
      <c r="W298" s="343"/>
      <c r="X298" s="343"/>
      <c r="Y298" s="343"/>
      <c r="Z298" s="352" t="s">
        <v>2052</v>
      </c>
      <c r="AA298" s="352"/>
      <c r="AB298" s="352"/>
      <c r="AC298" s="352"/>
      <c r="AD298" s="352"/>
      <c r="AE298" s="352"/>
      <c r="AF298" s="352" t="s">
        <v>2071</v>
      </c>
      <c r="AG298" s="352"/>
      <c r="AH298" s="352"/>
      <c r="AI298" s="352"/>
      <c r="AJ298" s="352" t="s">
        <v>2072</v>
      </c>
      <c r="AK298" s="352"/>
      <c r="AL298" s="352"/>
      <c r="AM298" s="352"/>
      <c r="AN298" s="352"/>
      <c r="AO298" s="352"/>
      <c r="AP298" s="403" t="s">
        <v>613</v>
      </c>
      <c r="AQ298" s="403"/>
      <c r="AR298" s="403" t="s">
        <v>614</v>
      </c>
      <c r="AS298" s="403"/>
    </row>
    <row r="299" spans="1:45" ht="10.5" customHeight="1">
      <c r="A299" s="343" t="s">
        <v>2386</v>
      </c>
      <c r="B299" s="343"/>
      <c r="C299" s="343"/>
      <c r="D299" s="343"/>
      <c r="E299" s="348" t="s">
        <v>2075</v>
      </c>
      <c r="F299" s="348"/>
      <c r="G299" s="348"/>
      <c r="H299" s="343" t="s">
        <v>2076</v>
      </c>
      <c r="I299" s="343"/>
      <c r="J299" s="343"/>
      <c r="K299" s="343"/>
      <c r="L299" s="343"/>
      <c r="M299" s="343"/>
      <c r="N299" s="343"/>
      <c r="O299" s="343"/>
      <c r="P299" s="343"/>
      <c r="Q299" s="343"/>
      <c r="R299" s="343"/>
      <c r="S299" s="343"/>
      <c r="T299" s="343"/>
      <c r="U299" s="343"/>
      <c r="V299" s="343"/>
      <c r="W299" s="343"/>
      <c r="X299" s="343"/>
      <c r="Y299" s="343"/>
      <c r="Z299" s="352" t="s">
        <v>1780</v>
      </c>
      <c r="AA299" s="352"/>
      <c r="AB299" s="352"/>
      <c r="AC299" s="352"/>
      <c r="AD299" s="352"/>
      <c r="AE299" s="352"/>
      <c r="AF299" s="352" t="s">
        <v>615</v>
      </c>
      <c r="AG299" s="352"/>
      <c r="AH299" s="352"/>
      <c r="AI299" s="352"/>
      <c r="AJ299" s="352" t="s">
        <v>616</v>
      </c>
      <c r="AK299" s="352"/>
      <c r="AL299" s="352"/>
      <c r="AM299" s="352"/>
      <c r="AN299" s="352"/>
      <c r="AO299" s="352"/>
      <c r="AP299" s="403" t="s">
        <v>617</v>
      </c>
      <c r="AQ299" s="403"/>
      <c r="AR299" s="403" t="s">
        <v>618</v>
      </c>
      <c r="AS299" s="403"/>
    </row>
    <row r="300" spans="1:45" ht="10.5" customHeight="1">
      <c r="A300" s="343" t="s">
        <v>2386</v>
      </c>
      <c r="B300" s="343"/>
      <c r="C300" s="343"/>
      <c r="D300" s="343"/>
      <c r="E300" s="348" t="s">
        <v>2080</v>
      </c>
      <c r="F300" s="348"/>
      <c r="G300" s="348"/>
      <c r="H300" s="343" t="s">
        <v>2081</v>
      </c>
      <c r="I300" s="343"/>
      <c r="J300" s="343"/>
      <c r="K300" s="343"/>
      <c r="L300" s="343"/>
      <c r="M300" s="343"/>
      <c r="N300" s="343"/>
      <c r="O300" s="343"/>
      <c r="P300" s="343"/>
      <c r="Q300" s="343"/>
      <c r="R300" s="343"/>
      <c r="S300" s="343"/>
      <c r="T300" s="343"/>
      <c r="U300" s="343"/>
      <c r="V300" s="343"/>
      <c r="W300" s="343"/>
      <c r="X300" s="343"/>
      <c r="Y300" s="343"/>
      <c r="Z300" s="352"/>
      <c r="AA300" s="352"/>
      <c r="AB300" s="352"/>
      <c r="AC300" s="352"/>
      <c r="AD300" s="352"/>
      <c r="AE300" s="352"/>
      <c r="AF300" s="352" t="s">
        <v>552</v>
      </c>
      <c r="AG300" s="352"/>
      <c r="AH300" s="352"/>
      <c r="AI300" s="352"/>
      <c r="AJ300" s="352" t="s">
        <v>619</v>
      </c>
      <c r="AK300" s="352"/>
      <c r="AL300" s="352"/>
      <c r="AM300" s="352"/>
      <c r="AN300" s="352"/>
      <c r="AO300" s="352"/>
      <c r="AP300" s="403" t="s">
        <v>2345</v>
      </c>
      <c r="AQ300" s="403"/>
      <c r="AR300" s="403" t="s">
        <v>620</v>
      </c>
      <c r="AS300" s="403"/>
    </row>
    <row r="301" spans="1:45" ht="10.5" customHeight="1">
      <c r="A301" s="343" t="s">
        <v>2386</v>
      </c>
      <c r="B301" s="343"/>
      <c r="C301" s="343"/>
      <c r="D301" s="343"/>
      <c r="E301" s="348" t="s">
        <v>2088</v>
      </c>
      <c r="F301" s="348"/>
      <c r="G301" s="348"/>
      <c r="H301" s="343" t="s">
        <v>2089</v>
      </c>
      <c r="I301" s="343"/>
      <c r="J301" s="343"/>
      <c r="K301" s="343"/>
      <c r="L301" s="343"/>
      <c r="M301" s="343"/>
      <c r="N301" s="343"/>
      <c r="O301" s="343"/>
      <c r="P301" s="343"/>
      <c r="Q301" s="343"/>
      <c r="R301" s="343"/>
      <c r="S301" s="343"/>
      <c r="T301" s="343"/>
      <c r="U301" s="343"/>
      <c r="V301" s="343"/>
      <c r="W301" s="343"/>
      <c r="X301" s="343"/>
      <c r="Y301" s="343"/>
      <c r="Z301" s="352" t="s">
        <v>2090</v>
      </c>
      <c r="AA301" s="352"/>
      <c r="AB301" s="352"/>
      <c r="AC301" s="352"/>
      <c r="AD301" s="352"/>
      <c r="AE301" s="352"/>
      <c r="AF301" s="352" t="s">
        <v>2091</v>
      </c>
      <c r="AG301" s="352"/>
      <c r="AH301" s="352"/>
      <c r="AI301" s="352"/>
      <c r="AJ301" s="352" t="s">
        <v>2092</v>
      </c>
      <c r="AK301" s="352"/>
      <c r="AL301" s="352"/>
      <c r="AM301" s="352"/>
      <c r="AN301" s="352"/>
      <c r="AO301" s="352"/>
      <c r="AP301" s="403" t="s">
        <v>621</v>
      </c>
      <c r="AQ301" s="403"/>
      <c r="AR301" s="403" t="s">
        <v>622</v>
      </c>
      <c r="AS301" s="403"/>
    </row>
    <row r="302" spans="1:45" ht="10.5" customHeight="1">
      <c r="A302" s="343" t="s">
        <v>2386</v>
      </c>
      <c r="B302" s="343"/>
      <c r="C302" s="343"/>
      <c r="D302" s="343"/>
      <c r="E302" s="348" t="s">
        <v>2102</v>
      </c>
      <c r="F302" s="348"/>
      <c r="G302" s="348"/>
      <c r="H302" s="343" t="s">
        <v>623</v>
      </c>
      <c r="I302" s="343"/>
      <c r="J302" s="343"/>
      <c r="K302" s="343"/>
      <c r="L302" s="343"/>
      <c r="M302" s="343"/>
      <c r="N302" s="343"/>
      <c r="O302" s="343"/>
      <c r="P302" s="343"/>
      <c r="Q302" s="343"/>
      <c r="R302" s="343"/>
      <c r="S302" s="343"/>
      <c r="T302" s="343"/>
      <c r="U302" s="343"/>
      <c r="V302" s="343"/>
      <c r="W302" s="343"/>
      <c r="X302" s="343"/>
      <c r="Y302" s="343"/>
      <c r="Z302" s="352"/>
      <c r="AA302" s="352"/>
      <c r="AB302" s="352"/>
      <c r="AC302" s="352"/>
      <c r="AD302" s="352"/>
      <c r="AE302" s="352"/>
      <c r="AF302" s="352" t="s">
        <v>2104</v>
      </c>
      <c r="AG302" s="352"/>
      <c r="AH302" s="352"/>
      <c r="AI302" s="352"/>
      <c r="AJ302" s="352" t="s">
        <v>2105</v>
      </c>
      <c r="AK302" s="352"/>
      <c r="AL302" s="352"/>
      <c r="AM302" s="352"/>
      <c r="AN302" s="352"/>
      <c r="AO302" s="352"/>
      <c r="AP302" s="403" t="s">
        <v>2345</v>
      </c>
      <c r="AQ302" s="403"/>
      <c r="AR302" s="403" t="s">
        <v>624</v>
      </c>
      <c r="AS302" s="403"/>
    </row>
    <row r="303" spans="1:45" ht="10.5" customHeight="1">
      <c r="A303" s="343" t="s">
        <v>2386</v>
      </c>
      <c r="B303" s="343"/>
      <c r="C303" s="343"/>
      <c r="D303" s="343"/>
      <c r="E303" s="348" t="s">
        <v>2106</v>
      </c>
      <c r="F303" s="348"/>
      <c r="G303" s="348"/>
      <c r="H303" s="343" t="s">
        <v>625</v>
      </c>
      <c r="I303" s="343"/>
      <c r="J303" s="343"/>
      <c r="K303" s="343"/>
      <c r="L303" s="343"/>
      <c r="M303" s="343"/>
      <c r="N303" s="343"/>
      <c r="O303" s="343"/>
      <c r="P303" s="343"/>
      <c r="Q303" s="343"/>
      <c r="R303" s="343"/>
      <c r="S303" s="343"/>
      <c r="T303" s="343"/>
      <c r="U303" s="343"/>
      <c r="V303" s="343"/>
      <c r="W303" s="343"/>
      <c r="X303" s="343"/>
      <c r="Y303" s="343"/>
      <c r="Z303" s="352"/>
      <c r="AA303" s="352"/>
      <c r="AB303" s="352"/>
      <c r="AC303" s="352"/>
      <c r="AD303" s="352"/>
      <c r="AE303" s="352"/>
      <c r="AF303" s="352" t="s">
        <v>1670</v>
      </c>
      <c r="AG303" s="352"/>
      <c r="AH303" s="352"/>
      <c r="AI303" s="352"/>
      <c r="AJ303" s="352"/>
      <c r="AK303" s="352"/>
      <c r="AL303" s="352"/>
      <c r="AM303" s="352"/>
      <c r="AN303" s="352"/>
      <c r="AO303" s="352"/>
      <c r="AP303" s="403" t="s">
        <v>2345</v>
      </c>
      <c r="AQ303" s="403"/>
      <c r="AR303" s="403"/>
      <c r="AS303" s="403"/>
    </row>
    <row r="304" spans="1:45" ht="13.5" thickBot="1">
      <c r="A304" s="404" t="s">
        <v>2386</v>
      </c>
      <c r="B304" s="404"/>
      <c r="C304" s="404"/>
      <c r="D304" s="404"/>
      <c r="E304" s="404" t="s">
        <v>2394</v>
      </c>
      <c r="F304" s="404"/>
      <c r="G304" s="404"/>
      <c r="H304" s="404"/>
      <c r="I304" s="404"/>
      <c r="J304" s="404"/>
      <c r="K304" s="404"/>
      <c r="L304" s="404"/>
      <c r="M304" s="404"/>
      <c r="N304" s="404"/>
      <c r="O304" s="404"/>
      <c r="P304" s="404"/>
      <c r="Q304" s="404"/>
      <c r="R304" s="404"/>
      <c r="S304" s="404"/>
      <c r="T304" s="404"/>
      <c r="U304" s="404"/>
      <c r="V304" s="404"/>
      <c r="W304" s="404"/>
      <c r="X304" s="404"/>
      <c r="Y304" s="404"/>
      <c r="Z304" s="405" t="s">
        <v>626</v>
      </c>
      <c r="AA304" s="405"/>
      <c r="AB304" s="405"/>
      <c r="AC304" s="405"/>
      <c r="AD304" s="405"/>
      <c r="AE304" s="405"/>
      <c r="AF304" s="405" t="s">
        <v>627</v>
      </c>
      <c r="AG304" s="405"/>
      <c r="AH304" s="405"/>
      <c r="AI304" s="405"/>
      <c r="AJ304" s="405" t="s">
        <v>628</v>
      </c>
      <c r="AK304" s="405"/>
      <c r="AL304" s="405"/>
      <c r="AM304" s="405"/>
      <c r="AN304" s="405"/>
      <c r="AO304" s="405"/>
      <c r="AP304" s="406" t="s">
        <v>629</v>
      </c>
      <c r="AQ304" s="406"/>
      <c r="AR304" s="406" t="s">
        <v>630</v>
      </c>
      <c r="AS304" s="406"/>
    </row>
    <row r="305" spans="1:45" ht="12.75">
      <c r="A305" s="354" t="s">
        <v>2399</v>
      </c>
      <c r="B305" s="354"/>
      <c r="C305" s="354"/>
      <c r="D305" s="354"/>
      <c r="E305" s="407" t="s">
        <v>1910</v>
      </c>
      <c r="F305" s="407"/>
      <c r="G305" s="407"/>
      <c r="H305" s="354" t="s">
        <v>1911</v>
      </c>
      <c r="I305" s="354"/>
      <c r="J305" s="354"/>
      <c r="K305" s="354"/>
      <c r="L305" s="354"/>
      <c r="M305" s="354"/>
      <c r="N305" s="354"/>
      <c r="O305" s="354"/>
      <c r="P305" s="354"/>
      <c r="Q305" s="354"/>
      <c r="R305" s="354"/>
      <c r="S305" s="354"/>
      <c r="T305" s="354"/>
      <c r="U305" s="354"/>
      <c r="V305" s="354"/>
      <c r="W305" s="354"/>
      <c r="X305" s="354"/>
      <c r="Y305" s="354"/>
      <c r="Z305" s="355"/>
      <c r="AA305" s="355"/>
      <c r="AB305" s="355"/>
      <c r="AC305" s="355"/>
      <c r="AD305" s="355"/>
      <c r="AE305" s="355"/>
      <c r="AF305" s="355"/>
      <c r="AG305" s="355"/>
      <c r="AH305" s="355"/>
      <c r="AI305" s="355"/>
      <c r="AJ305" s="355" t="s">
        <v>631</v>
      </c>
      <c r="AK305" s="355"/>
      <c r="AL305" s="355"/>
      <c r="AM305" s="355"/>
      <c r="AN305" s="355"/>
      <c r="AO305" s="355"/>
      <c r="AP305" s="408" t="s">
        <v>2345</v>
      </c>
      <c r="AQ305" s="408"/>
      <c r="AR305" s="408" t="s">
        <v>2345</v>
      </c>
      <c r="AS305" s="408"/>
    </row>
    <row r="306" spans="1:45" ht="13.5" thickBot="1">
      <c r="A306" s="404" t="s">
        <v>2399</v>
      </c>
      <c r="B306" s="404"/>
      <c r="C306" s="404"/>
      <c r="D306" s="404"/>
      <c r="E306" s="404" t="s">
        <v>2401</v>
      </c>
      <c r="F306" s="404"/>
      <c r="G306" s="404"/>
      <c r="H306" s="404"/>
      <c r="I306" s="404"/>
      <c r="J306" s="404"/>
      <c r="K306" s="404"/>
      <c r="L306" s="404"/>
      <c r="M306" s="404"/>
      <c r="N306" s="404"/>
      <c r="O306" s="404"/>
      <c r="P306" s="404"/>
      <c r="Q306" s="404"/>
      <c r="R306" s="404"/>
      <c r="S306" s="404"/>
      <c r="T306" s="404"/>
      <c r="U306" s="404"/>
      <c r="V306" s="404"/>
      <c r="W306" s="404"/>
      <c r="X306" s="404"/>
      <c r="Y306" s="404"/>
      <c r="Z306" s="405"/>
      <c r="AA306" s="405"/>
      <c r="AB306" s="405"/>
      <c r="AC306" s="405"/>
      <c r="AD306" s="405"/>
      <c r="AE306" s="405"/>
      <c r="AF306" s="405"/>
      <c r="AG306" s="405"/>
      <c r="AH306" s="405"/>
      <c r="AI306" s="405"/>
      <c r="AJ306" s="405" t="s">
        <v>631</v>
      </c>
      <c r="AK306" s="405"/>
      <c r="AL306" s="405"/>
      <c r="AM306" s="405"/>
      <c r="AN306" s="405"/>
      <c r="AO306" s="405"/>
      <c r="AP306" s="406" t="s">
        <v>2345</v>
      </c>
      <c r="AQ306" s="406"/>
      <c r="AR306" s="406" t="s">
        <v>2345</v>
      </c>
      <c r="AS306" s="406"/>
    </row>
    <row r="307" spans="1:45" ht="12.75">
      <c r="A307" s="354" t="s">
        <v>632</v>
      </c>
      <c r="B307" s="354"/>
      <c r="C307" s="354"/>
      <c r="D307" s="354"/>
      <c r="E307" s="407" t="s">
        <v>2005</v>
      </c>
      <c r="F307" s="407"/>
      <c r="G307" s="407"/>
      <c r="H307" s="354" t="s">
        <v>633</v>
      </c>
      <c r="I307" s="354"/>
      <c r="J307" s="354"/>
      <c r="K307" s="354"/>
      <c r="L307" s="354"/>
      <c r="M307" s="354"/>
      <c r="N307" s="354"/>
      <c r="O307" s="354"/>
      <c r="P307" s="354"/>
      <c r="Q307" s="354"/>
      <c r="R307" s="354"/>
      <c r="S307" s="354"/>
      <c r="T307" s="354"/>
      <c r="U307" s="354"/>
      <c r="V307" s="354"/>
      <c r="W307" s="354"/>
      <c r="X307" s="354"/>
      <c r="Y307" s="354"/>
      <c r="Z307" s="355"/>
      <c r="AA307" s="355"/>
      <c r="AB307" s="355"/>
      <c r="AC307" s="355"/>
      <c r="AD307" s="355"/>
      <c r="AE307" s="355"/>
      <c r="AF307" s="355"/>
      <c r="AG307" s="355"/>
      <c r="AH307" s="355"/>
      <c r="AI307" s="355"/>
      <c r="AJ307" s="355" t="s">
        <v>2007</v>
      </c>
      <c r="AK307" s="355"/>
      <c r="AL307" s="355"/>
      <c r="AM307" s="355"/>
      <c r="AN307" s="355"/>
      <c r="AO307" s="355"/>
      <c r="AP307" s="408" t="s">
        <v>2345</v>
      </c>
      <c r="AQ307" s="408"/>
      <c r="AR307" s="408" t="s">
        <v>2345</v>
      </c>
      <c r="AS307" s="408"/>
    </row>
    <row r="308" spans="1:45" ht="12.75">
      <c r="A308" s="343" t="s">
        <v>632</v>
      </c>
      <c r="B308" s="343"/>
      <c r="C308" s="343"/>
      <c r="D308" s="343"/>
      <c r="E308" s="348" t="s">
        <v>2008</v>
      </c>
      <c r="F308" s="348"/>
      <c r="G308" s="348"/>
      <c r="H308" s="343" t="s">
        <v>2009</v>
      </c>
      <c r="I308" s="343"/>
      <c r="J308" s="343"/>
      <c r="K308" s="343"/>
      <c r="L308" s="343"/>
      <c r="M308" s="343"/>
      <c r="N308" s="343"/>
      <c r="O308" s="343"/>
      <c r="P308" s="343"/>
      <c r="Q308" s="343"/>
      <c r="R308" s="343"/>
      <c r="S308" s="343"/>
      <c r="T308" s="343"/>
      <c r="U308" s="343"/>
      <c r="V308" s="343"/>
      <c r="W308" s="343"/>
      <c r="X308" s="343"/>
      <c r="Y308" s="343"/>
      <c r="Z308" s="352" t="s">
        <v>1596</v>
      </c>
      <c r="AA308" s="352"/>
      <c r="AB308" s="352"/>
      <c r="AC308" s="352"/>
      <c r="AD308" s="352"/>
      <c r="AE308" s="352"/>
      <c r="AF308" s="352" t="s">
        <v>1596</v>
      </c>
      <c r="AG308" s="352"/>
      <c r="AH308" s="352"/>
      <c r="AI308" s="352"/>
      <c r="AJ308" s="352" t="s">
        <v>2010</v>
      </c>
      <c r="AK308" s="352"/>
      <c r="AL308" s="352"/>
      <c r="AM308" s="352"/>
      <c r="AN308" s="352"/>
      <c r="AO308" s="352"/>
      <c r="AP308" s="403" t="s">
        <v>634</v>
      </c>
      <c r="AQ308" s="403"/>
      <c r="AR308" s="403" t="s">
        <v>634</v>
      </c>
      <c r="AS308" s="403"/>
    </row>
    <row r="309" spans="1:45" ht="13.5" thickBot="1">
      <c r="A309" s="404" t="s">
        <v>632</v>
      </c>
      <c r="B309" s="404"/>
      <c r="C309" s="404"/>
      <c r="D309" s="404"/>
      <c r="E309" s="404" t="s">
        <v>635</v>
      </c>
      <c r="F309" s="404"/>
      <c r="G309" s="404"/>
      <c r="H309" s="404"/>
      <c r="I309" s="404"/>
      <c r="J309" s="404"/>
      <c r="K309" s="404"/>
      <c r="L309" s="404"/>
      <c r="M309" s="404"/>
      <c r="N309" s="404"/>
      <c r="O309" s="404"/>
      <c r="P309" s="404"/>
      <c r="Q309" s="404"/>
      <c r="R309" s="404"/>
      <c r="S309" s="404"/>
      <c r="T309" s="404"/>
      <c r="U309" s="404"/>
      <c r="V309" s="404"/>
      <c r="W309" s="404"/>
      <c r="X309" s="404"/>
      <c r="Y309" s="404"/>
      <c r="Z309" s="405" t="s">
        <v>1596</v>
      </c>
      <c r="AA309" s="405"/>
      <c r="AB309" s="405"/>
      <c r="AC309" s="405"/>
      <c r="AD309" s="405"/>
      <c r="AE309" s="405"/>
      <c r="AF309" s="405" t="s">
        <v>1596</v>
      </c>
      <c r="AG309" s="405"/>
      <c r="AH309" s="405"/>
      <c r="AI309" s="405"/>
      <c r="AJ309" s="405" t="s">
        <v>1597</v>
      </c>
      <c r="AK309" s="405"/>
      <c r="AL309" s="405"/>
      <c r="AM309" s="405"/>
      <c r="AN309" s="405"/>
      <c r="AO309" s="405"/>
      <c r="AP309" s="406" t="s">
        <v>2358</v>
      </c>
      <c r="AQ309" s="406"/>
      <c r="AR309" s="406" t="s">
        <v>2358</v>
      </c>
      <c r="AS309" s="406"/>
    </row>
    <row r="310" spans="1:45" ht="13.5" thickBot="1">
      <c r="A310" s="410" t="s">
        <v>636</v>
      </c>
      <c r="B310" s="410"/>
      <c r="C310" s="410"/>
      <c r="D310" s="410"/>
      <c r="E310" s="410"/>
      <c r="F310" s="410"/>
      <c r="G310" s="410"/>
      <c r="H310" s="410"/>
      <c r="I310" s="410"/>
      <c r="J310" s="410"/>
      <c r="K310" s="410"/>
      <c r="L310" s="410"/>
      <c r="M310" s="410"/>
      <c r="N310" s="410"/>
      <c r="O310" s="410"/>
      <c r="P310" s="410"/>
      <c r="Q310" s="410"/>
      <c r="R310" s="410"/>
      <c r="S310" s="410"/>
      <c r="T310" s="410"/>
      <c r="U310" s="410"/>
      <c r="V310" s="410"/>
      <c r="W310" s="410"/>
      <c r="X310" s="410"/>
      <c r="Y310" s="410"/>
      <c r="Z310" s="369" t="s">
        <v>1592</v>
      </c>
      <c r="AA310" s="369"/>
      <c r="AB310" s="369"/>
      <c r="AC310" s="369"/>
      <c r="AD310" s="369"/>
      <c r="AE310" s="369"/>
      <c r="AF310" s="369" t="s">
        <v>1798</v>
      </c>
      <c r="AG310" s="369"/>
      <c r="AH310" s="369"/>
      <c r="AI310" s="369"/>
      <c r="AJ310" s="369" t="s">
        <v>1799</v>
      </c>
      <c r="AK310" s="369"/>
      <c r="AL310" s="369"/>
      <c r="AM310" s="369"/>
      <c r="AN310" s="369"/>
      <c r="AO310" s="369"/>
      <c r="AP310" s="411" t="s">
        <v>637</v>
      </c>
      <c r="AQ310" s="411"/>
      <c r="AR310" s="411" t="s">
        <v>638</v>
      </c>
      <c r="AS310" s="411"/>
    </row>
    <row r="311" spans="1:45" ht="13.5" thickBot="1">
      <c r="A311" s="414" t="s">
        <v>639</v>
      </c>
      <c r="B311" s="414"/>
      <c r="C311" s="414"/>
      <c r="D311" s="414"/>
      <c r="E311" s="414"/>
      <c r="F311" s="414"/>
      <c r="G311" s="414"/>
      <c r="H311" s="414"/>
      <c r="I311" s="414"/>
      <c r="J311" s="414"/>
      <c r="K311" s="414"/>
      <c r="L311" s="414"/>
      <c r="M311" s="414"/>
      <c r="N311" s="414"/>
      <c r="O311" s="414"/>
      <c r="P311" s="414"/>
      <c r="Q311" s="414"/>
      <c r="R311" s="414"/>
      <c r="S311" s="414"/>
      <c r="T311" s="414"/>
      <c r="U311" s="414"/>
      <c r="V311" s="414"/>
      <c r="W311" s="414"/>
      <c r="X311" s="414"/>
      <c r="Y311" s="414"/>
      <c r="Z311" s="414"/>
      <c r="AA311" s="414"/>
      <c r="AB311" s="414"/>
      <c r="AC311" s="414"/>
      <c r="AD311" s="414"/>
      <c r="AE311" s="414"/>
      <c r="AF311" s="414"/>
      <c r="AG311" s="414"/>
      <c r="AH311" s="414"/>
      <c r="AI311" s="414"/>
      <c r="AJ311" s="414"/>
      <c r="AK311" s="414"/>
      <c r="AL311" s="414"/>
      <c r="AM311" s="414"/>
      <c r="AN311" s="414"/>
      <c r="AO311" s="414"/>
      <c r="AP311" s="414"/>
      <c r="AQ311" s="414"/>
      <c r="AR311" s="414"/>
      <c r="AS311" s="414"/>
    </row>
    <row r="312" spans="1:45" ht="10.5" customHeight="1">
      <c r="A312" s="366" t="s">
        <v>2125</v>
      </c>
      <c r="B312" s="366"/>
      <c r="C312" s="366"/>
      <c r="D312" s="366"/>
      <c r="E312" s="366"/>
      <c r="F312" s="366"/>
      <c r="G312" s="366"/>
      <c r="H312" s="366"/>
      <c r="I312" s="366"/>
      <c r="J312" s="366"/>
      <c r="K312" s="366"/>
      <c r="L312" s="366"/>
      <c r="M312" s="366"/>
      <c r="N312" s="366"/>
      <c r="O312" s="366"/>
      <c r="P312" s="366"/>
      <c r="Q312" s="366"/>
      <c r="R312" s="366"/>
      <c r="S312" s="366"/>
      <c r="T312" s="366"/>
      <c r="U312" s="366"/>
      <c r="V312" s="366"/>
      <c r="W312" s="366"/>
      <c r="X312" s="366"/>
      <c r="Y312" s="366"/>
      <c r="Z312" s="366"/>
      <c r="AA312" s="366"/>
      <c r="AB312" s="366"/>
      <c r="AC312" s="366"/>
      <c r="AD312" s="366"/>
      <c r="AE312" s="366"/>
      <c r="AF312" s="366"/>
      <c r="AG312" s="366"/>
      <c r="AH312" s="366"/>
      <c r="AI312" s="366"/>
      <c r="AJ312" s="366"/>
      <c r="AK312" s="366"/>
      <c r="AL312" s="366"/>
      <c r="AM312" s="366"/>
      <c r="AN312" s="366"/>
      <c r="AO312" s="366"/>
      <c r="AP312" s="366"/>
      <c r="AQ312" s="366"/>
      <c r="AR312" s="366"/>
      <c r="AS312" s="366"/>
    </row>
    <row r="313" spans="1:45" ht="10.5" customHeight="1">
      <c r="A313" s="392"/>
      <c r="B313" s="392"/>
      <c r="C313" s="343" t="s">
        <v>2126</v>
      </c>
      <c r="D313" s="343"/>
      <c r="E313" s="343"/>
      <c r="F313" s="343"/>
      <c r="G313" s="343"/>
      <c r="H313" s="343"/>
      <c r="I313" s="343"/>
      <c r="J313" s="343"/>
      <c r="K313" s="343"/>
      <c r="L313" s="343"/>
      <c r="M313" s="343"/>
      <c r="N313" s="343"/>
      <c r="O313" s="343"/>
      <c r="P313" s="343"/>
      <c r="Q313" s="343"/>
      <c r="R313" s="343"/>
      <c r="S313" s="343"/>
      <c r="T313" s="343"/>
      <c r="U313" s="415" t="s">
        <v>2127</v>
      </c>
      <c r="V313" s="415"/>
      <c r="W313" s="415"/>
      <c r="X313" s="415"/>
      <c r="Y313" s="415"/>
      <c r="Z313" s="352"/>
      <c r="AA313" s="352"/>
      <c r="AB313" s="352"/>
      <c r="AC313" s="352"/>
      <c r="AD313" s="352"/>
      <c r="AE313" s="352"/>
      <c r="AF313" s="352"/>
      <c r="AG313" s="352"/>
      <c r="AH313" s="352"/>
      <c r="AI313" s="352"/>
      <c r="AJ313" s="352"/>
      <c r="AK313" s="352"/>
      <c r="AL313" s="352"/>
      <c r="AM313" s="352"/>
      <c r="AN313" s="352"/>
      <c r="AO313" s="352"/>
      <c r="AP313" s="403" t="s">
        <v>2345</v>
      </c>
      <c r="AQ313" s="403"/>
      <c r="AR313" s="403" t="s">
        <v>2345</v>
      </c>
      <c r="AS313" s="403"/>
    </row>
    <row r="314" spans="1:45" ht="10.5" customHeight="1">
      <c r="A314" s="392"/>
      <c r="B314" s="392"/>
      <c r="C314" s="343" t="s">
        <v>2128</v>
      </c>
      <c r="D314" s="343"/>
      <c r="E314" s="343"/>
      <c r="F314" s="343"/>
      <c r="G314" s="343"/>
      <c r="H314" s="343"/>
      <c r="I314" s="343"/>
      <c r="J314" s="343"/>
      <c r="K314" s="343"/>
      <c r="L314" s="343"/>
      <c r="M314" s="343"/>
      <c r="N314" s="343"/>
      <c r="O314" s="343"/>
      <c r="P314" s="343"/>
      <c r="Q314" s="343"/>
      <c r="R314" s="343"/>
      <c r="S314" s="343"/>
      <c r="T314" s="343"/>
      <c r="U314" s="415" t="s">
        <v>2129</v>
      </c>
      <c r="V314" s="415"/>
      <c r="W314" s="415"/>
      <c r="X314" s="415"/>
      <c r="Y314" s="415"/>
      <c r="Z314" s="352"/>
      <c r="AA314" s="352"/>
      <c r="AB314" s="352"/>
      <c r="AC314" s="352"/>
      <c r="AD314" s="352"/>
      <c r="AE314" s="352"/>
      <c r="AF314" s="352"/>
      <c r="AG314" s="352"/>
      <c r="AH314" s="352"/>
      <c r="AI314" s="352"/>
      <c r="AJ314" s="352"/>
      <c r="AK314" s="352"/>
      <c r="AL314" s="352"/>
      <c r="AM314" s="352"/>
      <c r="AN314" s="352"/>
      <c r="AO314" s="352"/>
      <c r="AP314" s="403" t="s">
        <v>2345</v>
      </c>
      <c r="AQ314" s="403"/>
      <c r="AR314" s="403" t="s">
        <v>2345</v>
      </c>
      <c r="AS314" s="403"/>
    </row>
    <row r="315" spans="1:45" ht="10.5" customHeight="1">
      <c r="A315" s="392"/>
      <c r="B315" s="392"/>
      <c r="C315" s="343" t="s">
        <v>2130</v>
      </c>
      <c r="D315" s="343"/>
      <c r="E315" s="343"/>
      <c r="F315" s="343"/>
      <c r="G315" s="343"/>
      <c r="H315" s="343"/>
      <c r="I315" s="343"/>
      <c r="J315" s="343"/>
      <c r="K315" s="343"/>
      <c r="L315" s="343"/>
      <c r="M315" s="343"/>
      <c r="N315" s="343"/>
      <c r="O315" s="343"/>
      <c r="P315" s="343"/>
      <c r="Q315" s="343"/>
      <c r="R315" s="343"/>
      <c r="S315" s="343"/>
      <c r="T315" s="343"/>
      <c r="U315" s="415" t="s">
        <v>2131</v>
      </c>
      <c r="V315" s="415"/>
      <c r="W315" s="415"/>
      <c r="X315" s="415"/>
      <c r="Y315" s="415"/>
      <c r="Z315" s="352"/>
      <c r="AA315" s="352"/>
      <c r="AB315" s="352"/>
      <c r="AC315" s="352"/>
      <c r="AD315" s="352"/>
      <c r="AE315" s="352"/>
      <c r="AF315" s="352"/>
      <c r="AG315" s="352"/>
      <c r="AH315" s="352"/>
      <c r="AI315" s="352"/>
      <c r="AJ315" s="352"/>
      <c r="AK315" s="352"/>
      <c r="AL315" s="352"/>
      <c r="AM315" s="352"/>
      <c r="AN315" s="352"/>
      <c r="AO315" s="352"/>
      <c r="AP315" s="403" t="s">
        <v>2345</v>
      </c>
      <c r="AQ315" s="403"/>
      <c r="AR315" s="403" t="s">
        <v>2345</v>
      </c>
      <c r="AS315" s="403"/>
    </row>
    <row r="316" spans="1:45" ht="10.5" customHeight="1">
      <c r="A316" s="392"/>
      <c r="B316" s="392"/>
      <c r="C316" s="343" t="s">
        <v>2132</v>
      </c>
      <c r="D316" s="343"/>
      <c r="E316" s="343"/>
      <c r="F316" s="343"/>
      <c r="G316" s="343"/>
      <c r="H316" s="343"/>
      <c r="I316" s="343"/>
      <c r="J316" s="343"/>
      <c r="K316" s="343"/>
      <c r="L316" s="343"/>
      <c r="M316" s="343"/>
      <c r="N316" s="343"/>
      <c r="O316" s="343"/>
      <c r="P316" s="343"/>
      <c r="Q316" s="343"/>
      <c r="R316" s="343"/>
      <c r="S316" s="343"/>
      <c r="T316" s="343"/>
      <c r="U316" s="415" t="s">
        <v>2133</v>
      </c>
      <c r="V316" s="415"/>
      <c r="W316" s="415"/>
      <c r="X316" s="415"/>
      <c r="Y316" s="415"/>
      <c r="Z316" s="352"/>
      <c r="AA316" s="352"/>
      <c r="AB316" s="352"/>
      <c r="AC316" s="352"/>
      <c r="AD316" s="352"/>
      <c r="AE316" s="352"/>
      <c r="AF316" s="352"/>
      <c r="AG316" s="352"/>
      <c r="AH316" s="352"/>
      <c r="AI316" s="352"/>
      <c r="AJ316" s="352"/>
      <c r="AK316" s="352"/>
      <c r="AL316" s="352"/>
      <c r="AM316" s="352"/>
      <c r="AN316" s="352"/>
      <c r="AO316" s="352"/>
      <c r="AP316" s="403" t="s">
        <v>2345</v>
      </c>
      <c r="AQ316" s="403"/>
      <c r="AR316" s="403" t="s">
        <v>2345</v>
      </c>
      <c r="AS316" s="403"/>
    </row>
    <row r="317" spans="1:45" ht="10.5" customHeight="1">
      <c r="A317" s="392"/>
      <c r="B317" s="392"/>
      <c r="C317" s="343" t="s">
        <v>2134</v>
      </c>
      <c r="D317" s="343"/>
      <c r="E317" s="343"/>
      <c r="F317" s="343"/>
      <c r="G317" s="343"/>
      <c r="H317" s="343"/>
      <c r="I317" s="343"/>
      <c r="J317" s="343"/>
      <c r="K317" s="343"/>
      <c r="L317" s="343"/>
      <c r="M317" s="343"/>
      <c r="N317" s="343"/>
      <c r="O317" s="343"/>
      <c r="P317" s="343"/>
      <c r="Q317" s="343"/>
      <c r="R317" s="343"/>
      <c r="S317" s="343"/>
      <c r="T317" s="343"/>
      <c r="U317" s="415" t="s">
        <v>2135</v>
      </c>
      <c r="V317" s="415"/>
      <c r="W317" s="415"/>
      <c r="X317" s="415"/>
      <c r="Y317" s="415"/>
      <c r="Z317" s="352"/>
      <c r="AA317" s="352"/>
      <c r="AB317" s="352"/>
      <c r="AC317" s="352"/>
      <c r="AD317" s="352"/>
      <c r="AE317" s="352"/>
      <c r="AF317" s="352" t="s">
        <v>2136</v>
      </c>
      <c r="AG317" s="352"/>
      <c r="AH317" s="352"/>
      <c r="AI317" s="352"/>
      <c r="AJ317" s="368" t="s">
        <v>2137</v>
      </c>
      <c r="AK317" s="368"/>
      <c r="AL317" s="368"/>
      <c r="AM317" s="368"/>
      <c r="AN317" s="368"/>
      <c r="AO317" s="368"/>
      <c r="AP317" s="403" t="s">
        <v>2345</v>
      </c>
      <c r="AQ317" s="403"/>
      <c r="AR317" s="413" t="s">
        <v>640</v>
      </c>
      <c r="AS317" s="413"/>
    </row>
    <row r="318" spans="1:45" ht="10.5" customHeight="1">
      <c r="A318" s="392"/>
      <c r="B318" s="392"/>
      <c r="C318" s="343" t="s">
        <v>2138</v>
      </c>
      <c r="D318" s="343"/>
      <c r="E318" s="343"/>
      <c r="F318" s="343"/>
      <c r="G318" s="343"/>
      <c r="H318" s="343"/>
      <c r="I318" s="343"/>
      <c r="J318" s="343"/>
      <c r="K318" s="343"/>
      <c r="L318" s="343"/>
      <c r="M318" s="343"/>
      <c r="N318" s="343"/>
      <c r="O318" s="343"/>
      <c r="P318" s="343"/>
      <c r="Q318" s="343"/>
      <c r="R318" s="343"/>
      <c r="S318" s="343"/>
      <c r="T318" s="343"/>
      <c r="U318" s="415" t="s">
        <v>2139</v>
      </c>
      <c r="V318" s="415"/>
      <c r="W318" s="415"/>
      <c r="X318" s="415"/>
      <c r="Y318" s="415"/>
      <c r="Z318" s="352"/>
      <c r="AA318" s="352"/>
      <c r="AB318" s="352"/>
      <c r="AC318" s="352"/>
      <c r="AD318" s="352"/>
      <c r="AE318" s="352"/>
      <c r="AF318" s="352"/>
      <c r="AG318" s="352"/>
      <c r="AH318" s="352"/>
      <c r="AI318" s="352"/>
      <c r="AJ318" s="352"/>
      <c r="AK318" s="352"/>
      <c r="AL318" s="352"/>
      <c r="AM318" s="352"/>
      <c r="AN318" s="352"/>
      <c r="AO318" s="352"/>
      <c r="AP318" s="403" t="s">
        <v>2345</v>
      </c>
      <c r="AQ318" s="403"/>
      <c r="AR318" s="403" t="s">
        <v>2345</v>
      </c>
      <c r="AS318" s="403"/>
    </row>
    <row r="319" spans="1:45" ht="10.5" customHeight="1" thickBot="1">
      <c r="A319" s="416"/>
      <c r="B319" s="416"/>
      <c r="C319" s="345" t="s">
        <v>2140</v>
      </c>
      <c r="D319" s="345"/>
      <c r="E319" s="345"/>
      <c r="F319" s="345"/>
      <c r="G319" s="345"/>
      <c r="H319" s="345"/>
      <c r="I319" s="345"/>
      <c r="J319" s="345"/>
      <c r="K319" s="345"/>
      <c r="L319" s="345"/>
      <c r="M319" s="345"/>
      <c r="N319" s="345"/>
      <c r="O319" s="345"/>
      <c r="P319" s="345"/>
      <c r="Q319" s="345"/>
      <c r="R319" s="345"/>
      <c r="S319" s="345"/>
      <c r="T319" s="345"/>
      <c r="U319" s="417" t="s">
        <v>2141</v>
      </c>
      <c r="V319" s="417"/>
      <c r="W319" s="417"/>
      <c r="X319" s="417"/>
      <c r="Y319" s="417"/>
      <c r="Z319" s="353"/>
      <c r="AA319" s="353"/>
      <c r="AB319" s="353"/>
      <c r="AC319" s="353"/>
      <c r="AD319" s="353"/>
      <c r="AE319" s="353"/>
      <c r="AF319" s="353"/>
      <c r="AG319" s="353"/>
      <c r="AH319" s="353"/>
      <c r="AI319" s="353"/>
      <c r="AJ319" s="353"/>
      <c r="AK319" s="353"/>
      <c r="AL319" s="353"/>
      <c r="AM319" s="353"/>
      <c r="AN319" s="353"/>
      <c r="AO319" s="353"/>
      <c r="AP319" s="418" t="s">
        <v>2345</v>
      </c>
      <c r="AQ319" s="418"/>
      <c r="AR319" s="418" t="s">
        <v>2345</v>
      </c>
      <c r="AS319" s="418"/>
    </row>
    <row r="320" spans="1:45" ht="10.5" customHeight="1">
      <c r="A320" s="366" t="s">
        <v>2142</v>
      </c>
      <c r="B320" s="366"/>
      <c r="C320" s="366"/>
      <c r="D320" s="366"/>
      <c r="E320" s="366"/>
      <c r="F320" s="366"/>
      <c r="G320" s="366"/>
      <c r="H320" s="366"/>
      <c r="I320" s="366"/>
      <c r="J320" s="366"/>
      <c r="K320" s="366"/>
      <c r="L320" s="366"/>
      <c r="M320" s="366"/>
      <c r="N320" s="366"/>
      <c r="O320" s="366"/>
      <c r="P320" s="366"/>
      <c r="Q320" s="366"/>
      <c r="R320" s="366"/>
      <c r="S320" s="366"/>
      <c r="T320" s="366"/>
      <c r="U320" s="366"/>
      <c r="V320" s="366"/>
      <c r="W320" s="366"/>
      <c r="X320" s="366"/>
      <c r="Y320" s="366"/>
      <c r="Z320" s="366"/>
      <c r="AA320" s="366"/>
      <c r="AB320" s="366"/>
      <c r="AC320" s="366"/>
      <c r="AD320" s="366"/>
      <c r="AE320" s="366"/>
      <c r="AF320" s="366"/>
      <c r="AG320" s="366"/>
      <c r="AH320" s="366"/>
      <c r="AI320" s="366"/>
      <c r="AJ320" s="366"/>
      <c r="AK320" s="366"/>
      <c r="AL320" s="366"/>
      <c r="AM320" s="366"/>
      <c r="AN320" s="366"/>
      <c r="AO320" s="366"/>
      <c r="AP320" s="366"/>
      <c r="AQ320" s="366"/>
      <c r="AR320" s="366"/>
      <c r="AS320" s="366"/>
    </row>
    <row r="321" spans="1:45" ht="10.5" customHeight="1">
      <c r="A321" s="392"/>
      <c r="B321" s="392"/>
      <c r="C321" s="343" t="s">
        <v>2143</v>
      </c>
      <c r="D321" s="343"/>
      <c r="E321" s="343"/>
      <c r="F321" s="343"/>
      <c r="G321" s="343"/>
      <c r="H321" s="343"/>
      <c r="I321" s="343"/>
      <c r="J321" s="343"/>
      <c r="K321" s="343"/>
      <c r="L321" s="343"/>
      <c r="M321" s="343"/>
      <c r="N321" s="343"/>
      <c r="O321" s="343"/>
      <c r="P321" s="343"/>
      <c r="Q321" s="343"/>
      <c r="R321" s="343"/>
      <c r="S321" s="343"/>
      <c r="T321" s="343"/>
      <c r="U321" s="415" t="s">
        <v>2144</v>
      </c>
      <c r="V321" s="415"/>
      <c r="W321" s="415"/>
      <c r="X321" s="415"/>
      <c r="Y321" s="415"/>
      <c r="Z321" s="352"/>
      <c r="AA321" s="352"/>
      <c r="AB321" s="352"/>
      <c r="AC321" s="352"/>
      <c r="AD321" s="352"/>
      <c r="AE321" s="352"/>
      <c r="AF321" s="352"/>
      <c r="AG321" s="352"/>
      <c r="AH321" s="352"/>
      <c r="AI321" s="352"/>
      <c r="AJ321" s="352"/>
      <c r="AK321" s="352"/>
      <c r="AL321" s="352"/>
      <c r="AM321" s="352"/>
      <c r="AN321" s="352"/>
      <c r="AO321" s="352"/>
      <c r="AP321" s="403" t="s">
        <v>2345</v>
      </c>
      <c r="AQ321" s="403"/>
      <c r="AR321" s="403" t="s">
        <v>2345</v>
      </c>
      <c r="AS321" s="403"/>
    </row>
    <row r="322" spans="1:45" ht="10.5" customHeight="1">
      <c r="A322" s="392"/>
      <c r="B322" s="392"/>
      <c r="C322" s="343" t="s">
        <v>2145</v>
      </c>
      <c r="D322" s="343"/>
      <c r="E322" s="343"/>
      <c r="F322" s="343"/>
      <c r="G322" s="343"/>
      <c r="H322" s="343"/>
      <c r="I322" s="343"/>
      <c r="J322" s="343"/>
      <c r="K322" s="343"/>
      <c r="L322" s="343"/>
      <c r="M322" s="343"/>
      <c r="N322" s="343"/>
      <c r="O322" s="343"/>
      <c r="P322" s="343"/>
      <c r="Q322" s="343"/>
      <c r="R322" s="343"/>
      <c r="S322" s="343"/>
      <c r="T322" s="343"/>
      <c r="U322" s="415" t="s">
        <v>2146</v>
      </c>
      <c r="V322" s="415"/>
      <c r="W322" s="415"/>
      <c r="X322" s="415"/>
      <c r="Y322" s="415"/>
      <c r="Z322" s="352"/>
      <c r="AA322" s="352"/>
      <c r="AB322" s="352"/>
      <c r="AC322" s="352"/>
      <c r="AD322" s="352"/>
      <c r="AE322" s="352"/>
      <c r="AF322" s="352"/>
      <c r="AG322" s="352"/>
      <c r="AH322" s="352"/>
      <c r="AI322" s="352"/>
      <c r="AJ322" s="352"/>
      <c r="AK322" s="352"/>
      <c r="AL322" s="352"/>
      <c r="AM322" s="352"/>
      <c r="AN322" s="352"/>
      <c r="AO322" s="352"/>
      <c r="AP322" s="403" t="s">
        <v>2345</v>
      </c>
      <c r="AQ322" s="403"/>
      <c r="AR322" s="403" t="s">
        <v>2345</v>
      </c>
      <c r="AS322" s="403"/>
    </row>
    <row r="323" spans="1:45" ht="10.5" customHeight="1">
      <c r="A323" s="392"/>
      <c r="B323" s="392"/>
      <c r="C323" s="343" t="s">
        <v>2147</v>
      </c>
      <c r="D323" s="343"/>
      <c r="E323" s="343"/>
      <c r="F323" s="343"/>
      <c r="G323" s="343"/>
      <c r="H323" s="343"/>
      <c r="I323" s="343"/>
      <c r="J323" s="343"/>
      <c r="K323" s="343"/>
      <c r="L323" s="343"/>
      <c r="M323" s="343"/>
      <c r="N323" s="343"/>
      <c r="O323" s="343"/>
      <c r="P323" s="343"/>
      <c r="Q323" s="343"/>
      <c r="R323" s="343"/>
      <c r="S323" s="343"/>
      <c r="T323" s="343"/>
      <c r="U323" s="415" t="s">
        <v>2148</v>
      </c>
      <c r="V323" s="415"/>
      <c r="W323" s="415"/>
      <c r="X323" s="415"/>
      <c r="Y323" s="415"/>
      <c r="Z323" s="352"/>
      <c r="AA323" s="352"/>
      <c r="AB323" s="352"/>
      <c r="AC323" s="352"/>
      <c r="AD323" s="352"/>
      <c r="AE323" s="352"/>
      <c r="AF323" s="352"/>
      <c r="AG323" s="352"/>
      <c r="AH323" s="352"/>
      <c r="AI323" s="352"/>
      <c r="AJ323" s="352"/>
      <c r="AK323" s="352"/>
      <c r="AL323" s="352"/>
      <c r="AM323" s="352"/>
      <c r="AN323" s="352"/>
      <c r="AO323" s="352"/>
      <c r="AP323" s="403" t="s">
        <v>2345</v>
      </c>
      <c r="AQ323" s="403"/>
      <c r="AR323" s="403" t="s">
        <v>2345</v>
      </c>
      <c r="AS323" s="403"/>
    </row>
    <row r="324" spans="1:45" ht="10.5" customHeight="1">
      <c r="A324" s="392"/>
      <c r="B324" s="392"/>
      <c r="C324" s="343" t="s">
        <v>2149</v>
      </c>
      <c r="D324" s="343"/>
      <c r="E324" s="343"/>
      <c r="F324" s="343"/>
      <c r="G324" s="343"/>
      <c r="H324" s="343"/>
      <c r="I324" s="343"/>
      <c r="J324" s="343"/>
      <c r="K324" s="343"/>
      <c r="L324" s="343"/>
      <c r="M324" s="343"/>
      <c r="N324" s="343"/>
      <c r="O324" s="343"/>
      <c r="P324" s="343"/>
      <c r="Q324" s="343"/>
      <c r="R324" s="343"/>
      <c r="S324" s="343"/>
      <c r="T324" s="343"/>
      <c r="U324" s="415" t="s">
        <v>2150</v>
      </c>
      <c r="V324" s="415"/>
      <c r="W324" s="415"/>
      <c r="X324" s="415"/>
      <c r="Y324" s="415"/>
      <c r="Z324" s="352"/>
      <c r="AA324" s="352"/>
      <c r="AB324" s="352"/>
      <c r="AC324" s="352"/>
      <c r="AD324" s="352"/>
      <c r="AE324" s="352"/>
      <c r="AF324" s="352"/>
      <c r="AG324" s="352"/>
      <c r="AH324" s="352"/>
      <c r="AI324" s="352"/>
      <c r="AJ324" s="352"/>
      <c r="AK324" s="352"/>
      <c r="AL324" s="352"/>
      <c r="AM324" s="352"/>
      <c r="AN324" s="352"/>
      <c r="AO324" s="352"/>
      <c r="AP324" s="403" t="s">
        <v>2345</v>
      </c>
      <c r="AQ324" s="403"/>
      <c r="AR324" s="403" t="s">
        <v>2345</v>
      </c>
      <c r="AS324" s="403"/>
    </row>
    <row r="325" spans="1:45" ht="10.5" customHeight="1">
      <c r="A325" s="392"/>
      <c r="B325" s="392"/>
      <c r="C325" s="343" t="s">
        <v>2151</v>
      </c>
      <c r="D325" s="343"/>
      <c r="E325" s="343"/>
      <c r="F325" s="343"/>
      <c r="G325" s="343"/>
      <c r="H325" s="343"/>
      <c r="I325" s="343"/>
      <c r="J325" s="343"/>
      <c r="K325" s="343"/>
      <c r="L325" s="343"/>
      <c r="M325" s="343"/>
      <c r="N325" s="343"/>
      <c r="O325" s="343"/>
      <c r="P325" s="343"/>
      <c r="Q325" s="343"/>
      <c r="R325" s="343"/>
      <c r="S325" s="343"/>
      <c r="T325" s="343"/>
      <c r="U325" s="415" t="s">
        <v>2152</v>
      </c>
      <c r="V325" s="415"/>
      <c r="W325" s="415"/>
      <c r="X325" s="415"/>
      <c r="Y325" s="415"/>
      <c r="Z325" s="352"/>
      <c r="AA325" s="352"/>
      <c r="AB325" s="352"/>
      <c r="AC325" s="352"/>
      <c r="AD325" s="352"/>
      <c r="AE325" s="352"/>
      <c r="AF325" s="352"/>
      <c r="AG325" s="352"/>
      <c r="AH325" s="352"/>
      <c r="AI325" s="352"/>
      <c r="AJ325" s="352"/>
      <c r="AK325" s="352"/>
      <c r="AL325" s="352"/>
      <c r="AM325" s="352"/>
      <c r="AN325" s="352"/>
      <c r="AO325" s="352"/>
      <c r="AP325" s="403" t="s">
        <v>2345</v>
      </c>
      <c r="AQ325" s="403"/>
      <c r="AR325" s="403" t="s">
        <v>2345</v>
      </c>
      <c r="AS325" s="403"/>
    </row>
    <row r="326" spans="1:45" ht="10.5" customHeight="1">
      <c r="A326" s="392"/>
      <c r="B326" s="392"/>
      <c r="C326" s="343" t="s">
        <v>2153</v>
      </c>
      <c r="D326" s="343"/>
      <c r="E326" s="343"/>
      <c r="F326" s="343"/>
      <c r="G326" s="343"/>
      <c r="H326" s="343"/>
      <c r="I326" s="343"/>
      <c r="J326" s="343"/>
      <c r="K326" s="343"/>
      <c r="L326" s="343"/>
      <c r="M326" s="343"/>
      <c r="N326" s="343"/>
      <c r="O326" s="343"/>
      <c r="P326" s="343"/>
      <c r="Q326" s="343"/>
      <c r="R326" s="343"/>
      <c r="S326" s="343"/>
      <c r="T326" s="343"/>
      <c r="U326" s="415" t="s">
        <v>2154</v>
      </c>
      <c r="V326" s="415"/>
      <c r="W326" s="415"/>
      <c r="X326" s="415"/>
      <c r="Y326" s="415"/>
      <c r="Z326" s="352"/>
      <c r="AA326" s="352"/>
      <c r="AB326" s="352"/>
      <c r="AC326" s="352"/>
      <c r="AD326" s="352"/>
      <c r="AE326" s="352"/>
      <c r="AF326" s="352"/>
      <c r="AG326" s="352"/>
      <c r="AH326" s="352"/>
      <c r="AI326" s="352"/>
      <c r="AJ326" s="352"/>
      <c r="AK326" s="352"/>
      <c r="AL326" s="352"/>
      <c r="AM326" s="352"/>
      <c r="AN326" s="352"/>
      <c r="AO326" s="352"/>
      <c r="AP326" s="403" t="s">
        <v>2345</v>
      </c>
      <c r="AQ326" s="403"/>
      <c r="AR326" s="403" t="s">
        <v>2345</v>
      </c>
      <c r="AS326" s="403"/>
    </row>
    <row r="327" spans="1:45" ht="10.5" customHeight="1" thickBot="1">
      <c r="A327" s="416"/>
      <c r="B327" s="416"/>
      <c r="C327" s="345" t="s">
        <v>2155</v>
      </c>
      <c r="D327" s="345"/>
      <c r="E327" s="345"/>
      <c r="F327" s="345"/>
      <c r="G327" s="345"/>
      <c r="H327" s="345"/>
      <c r="I327" s="345"/>
      <c r="J327" s="345"/>
      <c r="K327" s="345"/>
      <c r="L327" s="345"/>
      <c r="M327" s="345"/>
      <c r="N327" s="345"/>
      <c r="O327" s="345"/>
      <c r="P327" s="345"/>
      <c r="Q327" s="345"/>
      <c r="R327" s="345"/>
      <c r="S327" s="345"/>
      <c r="T327" s="345"/>
      <c r="U327" s="417" t="s">
        <v>2156</v>
      </c>
      <c r="V327" s="417"/>
      <c r="W327" s="417"/>
      <c r="X327" s="417"/>
      <c r="Y327" s="417"/>
      <c r="Z327" s="353"/>
      <c r="AA327" s="353"/>
      <c r="AB327" s="353"/>
      <c r="AC327" s="353"/>
      <c r="AD327" s="353"/>
      <c r="AE327" s="353"/>
      <c r="AF327" s="353"/>
      <c r="AG327" s="353"/>
      <c r="AH327" s="353"/>
      <c r="AI327" s="353"/>
      <c r="AJ327" s="353"/>
      <c r="AK327" s="353"/>
      <c r="AL327" s="353"/>
      <c r="AM327" s="353"/>
      <c r="AN327" s="353"/>
      <c r="AO327" s="353"/>
      <c r="AP327" s="418" t="s">
        <v>2345</v>
      </c>
      <c r="AQ327" s="418"/>
      <c r="AR327" s="418" t="s">
        <v>2345</v>
      </c>
      <c r="AS327" s="418"/>
    </row>
    <row r="328" spans="1:45" ht="12.75">
      <c r="A328" s="350" t="s">
        <v>2330</v>
      </c>
      <c r="B328" s="350"/>
      <c r="C328" s="350"/>
      <c r="D328" s="350"/>
      <c r="E328" s="350" t="s">
        <v>2287</v>
      </c>
      <c r="F328" s="350"/>
      <c r="G328" s="350"/>
      <c r="H328" s="350" t="s">
        <v>1574</v>
      </c>
      <c r="I328" s="350"/>
      <c r="J328" s="350"/>
      <c r="K328" s="350"/>
      <c r="L328" s="350"/>
      <c r="M328" s="350"/>
      <c r="N328" s="350"/>
      <c r="O328" s="350"/>
      <c r="P328" s="350"/>
      <c r="Q328" s="350"/>
      <c r="R328" s="350"/>
      <c r="S328" s="350"/>
      <c r="T328" s="350"/>
      <c r="U328" s="350"/>
      <c r="V328" s="350"/>
      <c r="W328" s="350"/>
      <c r="X328" s="350"/>
      <c r="Y328" s="350"/>
      <c r="Z328" s="351" t="s">
        <v>1575</v>
      </c>
      <c r="AA328" s="351"/>
      <c r="AB328" s="351"/>
      <c r="AC328" s="351"/>
      <c r="AD328" s="351"/>
      <c r="AE328" s="351"/>
      <c r="AF328" s="351" t="s">
        <v>1576</v>
      </c>
      <c r="AG328" s="351"/>
      <c r="AH328" s="351"/>
      <c r="AI328" s="351"/>
      <c r="AJ328" s="351" t="s">
        <v>2331</v>
      </c>
      <c r="AK328" s="351"/>
      <c r="AL328" s="351"/>
      <c r="AM328" s="351"/>
      <c r="AN328" s="351"/>
      <c r="AO328" s="351"/>
      <c r="AP328" s="351" t="s">
        <v>2332</v>
      </c>
      <c r="AQ328" s="351"/>
      <c r="AR328" s="351" t="s">
        <v>2333</v>
      </c>
      <c r="AS328" s="351"/>
    </row>
    <row r="329" spans="1:45" ht="9.75" customHeight="1" thickBot="1">
      <c r="A329" s="398" t="s">
        <v>2334</v>
      </c>
      <c r="B329" s="398"/>
      <c r="C329" s="398"/>
      <c r="D329" s="398"/>
      <c r="E329" s="398" t="s">
        <v>2335</v>
      </c>
      <c r="F329" s="398"/>
      <c r="G329" s="398"/>
      <c r="H329" s="399"/>
      <c r="I329" s="399"/>
      <c r="J329" s="399"/>
      <c r="K329" s="399"/>
      <c r="L329" s="399"/>
      <c r="M329" s="399"/>
      <c r="N329" s="399"/>
      <c r="O329" s="399"/>
      <c r="P329" s="399"/>
      <c r="Q329" s="399"/>
      <c r="R329" s="399"/>
      <c r="S329" s="399"/>
      <c r="T329" s="399"/>
      <c r="U329" s="399"/>
      <c r="V329" s="399"/>
      <c r="W329" s="399"/>
      <c r="X329" s="399"/>
      <c r="Y329" s="399"/>
      <c r="Z329" s="399" t="s">
        <v>1659</v>
      </c>
      <c r="AA329" s="399"/>
      <c r="AB329" s="399"/>
      <c r="AC329" s="399"/>
      <c r="AD329" s="399"/>
      <c r="AE329" s="399"/>
      <c r="AF329" s="399" t="s">
        <v>1729</v>
      </c>
      <c r="AG329" s="399"/>
      <c r="AH329" s="399"/>
      <c r="AI329" s="399"/>
      <c r="AJ329" s="399" t="s">
        <v>2336</v>
      </c>
      <c r="AK329" s="399"/>
      <c r="AL329" s="399"/>
      <c r="AM329" s="399"/>
      <c r="AN329" s="399"/>
      <c r="AO329" s="399"/>
      <c r="AP329" s="399"/>
      <c r="AQ329" s="399"/>
      <c r="AR329" s="399"/>
      <c r="AS329" s="399"/>
    </row>
    <row r="330" spans="1:45" ht="4.5" customHeight="1" thickBot="1">
      <c r="A330" s="400"/>
      <c r="B330" s="400"/>
      <c r="C330" s="400"/>
      <c r="D330" s="400"/>
      <c r="E330" s="400"/>
      <c r="F330" s="400"/>
      <c r="G330" s="400"/>
      <c r="H330" s="400"/>
      <c r="I330" s="400"/>
      <c r="J330" s="400"/>
      <c r="K330" s="400"/>
      <c r="L330" s="400"/>
      <c r="M330" s="400"/>
      <c r="N330" s="400"/>
      <c r="O330" s="400"/>
      <c r="P330" s="400"/>
      <c r="Q330" s="400"/>
      <c r="R330" s="400"/>
      <c r="S330" s="400"/>
      <c r="T330" s="400"/>
      <c r="U330" s="400"/>
      <c r="V330" s="400"/>
      <c r="W330" s="400"/>
      <c r="X330" s="400"/>
      <c r="Y330" s="400"/>
      <c r="Z330" s="401"/>
      <c r="AA330" s="401"/>
      <c r="AB330" s="401"/>
      <c r="AC330" s="401"/>
      <c r="AD330" s="401"/>
      <c r="AE330" s="401"/>
      <c r="AF330" s="401"/>
      <c r="AG330" s="401"/>
      <c r="AH330" s="401"/>
      <c r="AI330" s="401"/>
      <c r="AJ330" s="401"/>
      <c r="AK330" s="401"/>
      <c r="AL330" s="401"/>
      <c r="AM330" s="401"/>
      <c r="AN330" s="401"/>
      <c r="AO330" s="401"/>
      <c r="AP330" s="402"/>
      <c r="AQ330" s="402"/>
      <c r="AR330" s="402"/>
      <c r="AS330" s="402"/>
    </row>
    <row r="331" spans="1:45" ht="10.5" customHeight="1">
      <c r="A331" s="366" t="s">
        <v>2157</v>
      </c>
      <c r="B331" s="366"/>
      <c r="C331" s="366"/>
      <c r="D331" s="366"/>
      <c r="E331" s="366"/>
      <c r="F331" s="366"/>
      <c r="G331" s="366"/>
      <c r="H331" s="366"/>
      <c r="I331" s="366"/>
      <c r="J331" s="366"/>
      <c r="K331" s="366"/>
      <c r="L331" s="366"/>
      <c r="M331" s="366"/>
      <c r="N331" s="366"/>
      <c r="O331" s="366"/>
      <c r="P331" s="366"/>
      <c r="Q331" s="366"/>
      <c r="R331" s="366"/>
      <c r="S331" s="366"/>
      <c r="T331" s="366"/>
      <c r="U331" s="366"/>
      <c r="V331" s="366"/>
      <c r="W331" s="366"/>
      <c r="X331" s="366"/>
      <c r="Y331" s="366"/>
      <c r="Z331" s="366"/>
      <c r="AA331" s="366"/>
      <c r="AB331" s="366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</row>
    <row r="332" spans="1:45" ht="10.5" customHeight="1">
      <c r="A332" s="392"/>
      <c r="B332" s="392"/>
      <c r="C332" s="343" t="s">
        <v>2126</v>
      </c>
      <c r="D332" s="343"/>
      <c r="E332" s="343"/>
      <c r="F332" s="343"/>
      <c r="G332" s="343"/>
      <c r="H332" s="343"/>
      <c r="I332" s="343"/>
      <c r="J332" s="343"/>
      <c r="K332" s="343"/>
      <c r="L332" s="343"/>
      <c r="M332" s="343"/>
      <c r="N332" s="343"/>
      <c r="O332" s="343"/>
      <c r="P332" s="343"/>
      <c r="Q332" s="343"/>
      <c r="R332" s="343"/>
      <c r="S332" s="343"/>
      <c r="T332" s="343"/>
      <c r="U332" s="415" t="s">
        <v>2158</v>
      </c>
      <c r="V332" s="415"/>
      <c r="W332" s="415"/>
      <c r="X332" s="415"/>
      <c r="Y332" s="415"/>
      <c r="Z332" s="352"/>
      <c r="AA332" s="352"/>
      <c r="AB332" s="352"/>
      <c r="AC332" s="352"/>
      <c r="AD332" s="352"/>
      <c r="AE332" s="352"/>
      <c r="AF332" s="352"/>
      <c r="AG332" s="352"/>
      <c r="AH332" s="352"/>
      <c r="AI332" s="352"/>
      <c r="AJ332" s="352"/>
      <c r="AK332" s="352"/>
      <c r="AL332" s="352"/>
      <c r="AM332" s="352"/>
      <c r="AN332" s="352"/>
      <c r="AO332" s="352"/>
      <c r="AP332" s="403" t="s">
        <v>2345</v>
      </c>
      <c r="AQ332" s="403"/>
      <c r="AR332" s="403" t="s">
        <v>2345</v>
      </c>
      <c r="AS332" s="403"/>
    </row>
    <row r="333" spans="1:45" ht="10.5" customHeight="1">
      <c r="A333" s="392"/>
      <c r="B333" s="392"/>
      <c r="C333" s="343" t="s">
        <v>2128</v>
      </c>
      <c r="D333" s="343"/>
      <c r="E333" s="343"/>
      <c r="F333" s="343"/>
      <c r="G333" s="343"/>
      <c r="H333" s="343"/>
      <c r="I333" s="343"/>
      <c r="J333" s="343"/>
      <c r="K333" s="343"/>
      <c r="L333" s="343"/>
      <c r="M333" s="343"/>
      <c r="N333" s="343"/>
      <c r="O333" s="343"/>
      <c r="P333" s="343"/>
      <c r="Q333" s="343"/>
      <c r="R333" s="343"/>
      <c r="S333" s="343"/>
      <c r="T333" s="343"/>
      <c r="U333" s="415" t="s">
        <v>2159</v>
      </c>
      <c r="V333" s="415"/>
      <c r="W333" s="415"/>
      <c r="X333" s="415"/>
      <c r="Y333" s="415"/>
      <c r="Z333" s="352"/>
      <c r="AA333" s="352"/>
      <c r="AB333" s="352"/>
      <c r="AC333" s="352"/>
      <c r="AD333" s="352"/>
      <c r="AE333" s="352"/>
      <c r="AF333" s="352"/>
      <c r="AG333" s="352"/>
      <c r="AH333" s="352"/>
      <c r="AI333" s="352"/>
      <c r="AJ333" s="352"/>
      <c r="AK333" s="352"/>
      <c r="AL333" s="352"/>
      <c r="AM333" s="352"/>
      <c r="AN333" s="352"/>
      <c r="AO333" s="352"/>
      <c r="AP333" s="403" t="s">
        <v>2345</v>
      </c>
      <c r="AQ333" s="403"/>
      <c r="AR333" s="403" t="s">
        <v>2345</v>
      </c>
      <c r="AS333" s="403"/>
    </row>
    <row r="334" spans="1:45" ht="10.5" customHeight="1">
      <c r="A334" s="392"/>
      <c r="B334" s="392"/>
      <c r="C334" s="343" t="s">
        <v>2130</v>
      </c>
      <c r="D334" s="343"/>
      <c r="E334" s="343"/>
      <c r="F334" s="343"/>
      <c r="G334" s="343"/>
      <c r="H334" s="343"/>
      <c r="I334" s="343"/>
      <c r="J334" s="343"/>
      <c r="K334" s="343"/>
      <c r="L334" s="343"/>
      <c r="M334" s="343"/>
      <c r="N334" s="343"/>
      <c r="O334" s="343"/>
      <c r="P334" s="343"/>
      <c r="Q334" s="343"/>
      <c r="R334" s="343"/>
      <c r="S334" s="343"/>
      <c r="T334" s="343"/>
      <c r="U334" s="415" t="s">
        <v>2160</v>
      </c>
      <c r="V334" s="415"/>
      <c r="W334" s="415"/>
      <c r="X334" s="415"/>
      <c r="Y334" s="415"/>
      <c r="Z334" s="352"/>
      <c r="AA334" s="352"/>
      <c r="AB334" s="352"/>
      <c r="AC334" s="352"/>
      <c r="AD334" s="352"/>
      <c r="AE334" s="352"/>
      <c r="AF334" s="352"/>
      <c r="AG334" s="352"/>
      <c r="AH334" s="352"/>
      <c r="AI334" s="352"/>
      <c r="AJ334" s="352"/>
      <c r="AK334" s="352"/>
      <c r="AL334" s="352"/>
      <c r="AM334" s="352"/>
      <c r="AN334" s="352"/>
      <c r="AO334" s="352"/>
      <c r="AP334" s="403" t="s">
        <v>2345</v>
      </c>
      <c r="AQ334" s="403"/>
      <c r="AR334" s="403" t="s">
        <v>2345</v>
      </c>
      <c r="AS334" s="403"/>
    </row>
    <row r="335" spans="1:45" ht="10.5" customHeight="1">
      <c r="A335" s="392"/>
      <c r="B335" s="392"/>
      <c r="C335" s="343" t="s">
        <v>2132</v>
      </c>
      <c r="D335" s="343"/>
      <c r="E335" s="343"/>
      <c r="F335" s="343"/>
      <c r="G335" s="343"/>
      <c r="H335" s="343"/>
      <c r="I335" s="343"/>
      <c r="J335" s="343"/>
      <c r="K335" s="343"/>
      <c r="L335" s="343"/>
      <c r="M335" s="343"/>
      <c r="N335" s="343"/>
      <c r="O335" s="343"/>
      <c r="P335" s="343"/>
      <c r="Q335" s="343"/>
      <c r="R335" s="343"/>
      <c r="S335" s="343"/>
      <c r="T335" s="343"/>
      <c r="U335" s="415" t="s">
        <v>2161</v>
      </c>
      <c r="V335" s="415"/>
      <c r="W335" s="415"/>
      <c r="X335" s="415"/>
      <c r="Y335" s="415"/>
      <c r="Z335" s="352"/>
      <c r="AA335" s="352"/>
      <c r="AB335" s="352"/>
      <c r="AC335" s="352"/>
      <c r="AD335" s="352"/>
      <c r="AE335" s="352"/>
      <c r="AF335" s="352"/>
      <c r="AG335" s="352"/>
      <c r="AH335" s="352"/>
      <c r="AI335" s="352"/>
      <c r="AJ335" s="352"/>
      <c r="AK335" s="352"/>
      <c r="AL335" s="352"/>
      <c r="AM335" s="352"/>
      <c r="AN335" s="352"/>
      <c r="AO335" s="352"/>
      <c r="AP335" s="403" t="s">
        <v>2345</v>
      </c>
      <c r="AQ335" s="403"/>
      <c r="AR335" s="403" t="s">
        <v>2345</v>
      </c>
      <c r="AS335" s="403"/>
    </row>
    <row r="336" spans="1:45" ht="10.5" customHeight="1">
      <c r="A336" s="392"/>
      <c r="B336" s="392"/>
      <c r="C336" s="343" t="s">
        <v>2134</v>
      </c>
      <c r="D336" s="343"/>
      <c r="E336" s="343"/>
      <c r="F336" s="343"/>
      <c r="G336" s="343"/>
      <c r="H336" s="343"/>
      <c r="I336" s="343"/>
      <c r="J336" s="343"/>
      <c r="K336" s="343"/>
      <c r="L336" s="343"/>
      <c r="M336" s="343"/>
      <c r="N336" s="343"/>
      <c r="O336" s="343"/>
      <c r="P336" s="343"/>
      <c r="Q336" s="343"/>
      <c r="R336" s="343"/>
      <c r="S336" s="343"/>
      <c r="T336" s="343"/>
      <c r="U336" s="415" t="s">
        <v>2162</v>
      </c>
      <c r="V336" s="415"/>
      <c r="W336" s="415"/>
      <c r="X336" s="415"/>
      <c r="Y336" s="415"/>
      <c r="Z336" s="352"/>
      <c r="AA336" s="352"/>
      <c r="AB336" s="352"/>
      <c r="AC336" s="352"/>
      <c r="AD336" s="352"/>
      <c r="AE336" s="352"/>
      <c r="AF336" s="352"/>
      <c r="AG336" s="352"/>
      <c r="AH336" s="352"/>
      <c r="AI336" s="352"/>
      <c r="AJ336" s="352"/>
      <c r="AK336" s="352"/>
      <c r="AL336" s="352"/>
      <c r="AM336" s="352"/>
      <c r="AN336" s="352"/>
      <c r="AO336" s="352"/>
      <c r="AP336" s="403" t="s">
        <v>2345</v>
      </c>
      <c r="AQ336" s="403"/>
      <c r="AR336" s="403" t="s">
        <v>2345</v>
      </c>
      <c r="AS336" s="403"/>
    </row>
    <row r="337" spans="1:45" ht="10.5" customHeight="1">
      <c r="A337" s="392"/>
      <c r="B337" s="392"/>
      <c r="C337" s="343" t="s">
        <v>2138</v>
      </c>
      <c r="D337" s="343"/>
      <c r="E337" s="343"/>
      <c r="F337" s="343"/>
      <c r="G337" s="343"/>
      <c r="H337" s="343"/>
      <c r="I337" s="343"/>
      <c r="J337" s="343"/>
      <c r="K337" s="343"/>
      <c r="L337" s="343"/>
      <c r="M337" s="343"/>
      <c r="N337" s="343"/>
      <c r="O337" s="343"/>
      <c r="P337" s="343"/>
      <c r="Q337" s="343"/>
      <c r="R337" s="343"/>
      <c r="S337" s="343"/>
      <c r="T337" s="343"/>
      <c r="U337" s="415" t="s">
        <v>2163</v>
      </c>
      <c r="V337" s="415"/>
      <c r="W337" s="415"/>
      <c r="X337" s="415"/>
      <c r="Y337" s="415"/>
      <c r="Z337" s="352"/>
      <c r="AA337" s="352"/>
      <c r="AB337" s="352"/>
      <c r="AC337" s="352"/>
      <c r="AD337" s="352"/>
      <c r="AE337" s="352"/>
      <c r="AF337" s="352"/>
      <c r="AG337" s="352"/>
      <c r="AH337" s="352"/>
      <c r="AI337" s="352"/>
      <c r="AJ337" s="352"/>
      <c r="AK337" s="352"/>
      <c r="AL337" s="352"/>
      <c r="AM337" s="352"/>
      <c r="AN337" s="352"/>
      <c r="AO337" s="352"/>
      <c r="AP337" s="403" t="s">
        <v>2345</v>
      </c>
      <c r="AQ337" s="403"/>
      <c r="AR337" s="403" t="s">
        <v>2345</v>
      </c>
      <c r="AS337" s="403"/>
    </row>
    <row r="338" spans="1:45" ht="10.5" customHeight="1" thickBot="1">
      <c r="A338" s="416"/>
      <c r="B338" s="416"/>
      <c r="C338" s="345" t="s">
        <v>2140</v>
      </c>
      <c r="D338" s="345"/>
      <c r="E338" s="345"/>
      <c r="F338" s="345"/>
      <c r="G338" s="345"/>
      <c r="H338" s="345"/>
      <c r="I338" s="345"/>
      <c r="J338" s="345"/>
      <c r="K338" s="345"/>
      <c r="L338" s="345"/>
      <c r="M338" s="345"/>
      <c r="N338" s="345"/>
      <c r="O338" s="345"/>
      <c r="P338" s="345"/>
      <c r="Q338" s="345"/>
      <c r="R338" s="345"/>
      <c r="S338" s="345"/>
      <c r="T338" s="345"/>
      <c r="U338" s="417" t="s">
        <v>2164</v>
      </c>
      <c r="V338" s="417"/>
      <c r="W338" s="417"/>
      <c r="X338" s="417"/>
      <c r="Y338" s="417"/>
      <c r="Z338" s="353"/>
      <c r="AA338" s="353"/>
      <c r="AB338" s="353"/>
      <c r="AC338" s="353"/>
      <c r="AD338" s="353"/>
      <c r="AE338" s="353"/>
      <c r="AF338" s="353"/>
      <c r="AG338" s="353"/>
      <c r="AH338" s="353"/>
      <c r="AI338" s="353"/>
      <c r="AJ338" s="353"/>
      <c r="AK338" s="353"/>
      <c r="AL338" s="353"/>
      <c r="AM338" s="353"/>
      <c r="AN338" s="353"/>
      <c r="AO338" s="353"/>
      <c r="AP338" s="418" t="s">
        <v>2345</v>
      </c>
      <c r="AQ338" s="418"/>
      <c r="AR338" s="418" t="s">
        <v>2345</v>
      </c>
      <c r="AS338" s="418"/>
    </row>
    <row r="339" spans="1:45" ht="9.75" customHeight="1">
      <c r="A339" s="366" t="s">
        <v>2165</v>
      </c>
      <c r="B339" s="366"/>
      <c r="C339" s="366"/>
      <c r="D339" s="366"/>
      <c r="E339" s="366"/>
      <c r="F339" s="366"/>
      <c r="G339" s="366"/>
      <c r="H339" s="366"/>
      <c r="I339" s="366"/>
      <c r="J339" s="366"/>
      <c r="K339" s="366"/>
      <c r="L339" s="366"/>
      <c r="M339" s="366"/>
      <c r="N339" s="366"/>
      <c r="O339" s="366"/>
      <c r="P339" s="366"/>
      <c r="Q339" s="366"/>
      <c r="R339" s="366"/>
      <c r="S339" s="366"/>
      <c r="T339" s="366"/>
      <c r="U339" s="366"/>
      <c r="V339" s="366"/>
      <c r="W339" s="366"/>
      <c r="X339" s="366"/>
      <c r="Y339" s="366"/>
      <c r="Z339" s="366"/>
      <c r="AA339" s="366"/>
      <c r="AB339" s="366"/>
      <c r="AC339" s="366"/>
      <c r="AD339" s="366"/>
      <c r="AE339" s="366"/>
      <c r="AF339" s="366"/>
      <c r="AG339" s="366"/>
      <c r="AH339" s="366"/>
      <c r="AI339" s="366"/>
      <c r="AJ339" s="366"/>
      <c r="AK339" s="366"/>
      <c r="AL339" s="366"/>
      <c r="AM339" s="366"/>
      <c r="AN339" s="366"/>
      <c r="AO339" s="366"/>
      <c r="AP339" s="366"/>
      <c r="AQ339" s="366"/>
      <c r="AR339" s="366"/>
      <c r="AS339" s="366"/>
    </row>
    <row r="340" spans="1:45" ht="9.75" customHeight="1">
      <c r="A340" s="392"/>
      <c r="B340" s="392"/>
      <c r="C340" s="343" t="s">
        <v>2143</v>
      </c>
      <c r="D340" s="343"/>
      <c r="E340" s="343"/>
      <c r="F340" s="343"/>
      <c r="G340" s="343"/>
      <c r="H340" s="343"/>
      <c r="I340" s="343"/>
      <c r="J340" s="343"/>
      <c r="K340" s="343"/>
      <c r="L340" s="343"/>
      <c r="M340" s="343"/>
      <c r="N340" s="343"/>
      <c r="O340" s="343"/>
      <c r="P340" s="343"/>
      <c r="Q340" s="343"/>
      <c r="R340" s="343"/>
      <c r="S340" s="343"/>
      <c r="T340" s="343"/>
      <c r="U340" s="415" t="s">
        <v>2166</v>
      </c>
      <c r="V340" s="415"/>
      <c r="W340" s="415"/>
      <c r="X340" s="415"/>
      <c r="Y340" s="415"/>
      <c r="Z340" s="352"/>
      <c r="AA340" s="352"/>
      <c r="AB340" s="352"/>
      <c r="AC340" s="352"/>
      <c r="AD340" s="352"/>
      <c r="AE340" s="352"/>
      <c r="AF340" s="352"/>
      <c r="AG340" s="352"/>
      <c r="AH340" s="352"/>
      <c r="AI340" s="352"/>
      <c r="AJ340" s="352"/>
      <c r="AK340" s="352"/>
      <c r="AL340" s="352"/>
      <c r="AM340" s="352"/>
      <c r="AN340" s="352"/>
      <c r="AO340" s="352"/>
      <c r="AP340" s="403" t="s">
        <v>2345</v>
      </c>
      <c r="AQ340" s="403"/>
      <c r="AR340" s="403" t="s">
        <v>2345</v>
      </c>
      <c r="AS340" s="403"/>
    </row>
    <row r="341" spans="1:45" ht="9.75" customHeight="1">
      <c r="A341" s="392"/>
      <c r="B341" s="392"/>
      <c r="C341" s="343" t="s">
        <v>2145</v>
      </c>
      <c r="D341" s="343"/>
      <c r="E341" s="343"/>
      <c r="F341" s="343"/>
      <c r="G341" s="343"/>
      <c r="H341" s="343"/>
      <c r="I341" s="343"/>
      <c r="J341" s="343"/>
      <c r="K341" s="343"/>
      <c r="L341" s="343"/>
      <c r="M341" s="343"/>
      <c r="N341" s="343"/>
      <c r="O341" s="343"/>
      <c r="P341" s="343"/>
      <c r="Q341" s="343"/>
      <c r="R341" s="343"/>
      <c r="S341" s="343"/>
      <c r="T341" s="343"/>
      <c r="U341" s="415" t="s">
        <v>2167</v>
      </c>
      <c r="V341" s="415"/>
      <c r="W341" s="415"/>
      <c r="X341" s="415"/>
      <c r="Y341" s="415"/>
      <c r="Z341" s="352"/>
      <c r="AA341" s="352"/>
      <c r="AB341" s="352"/>
      <c r="AC341" s="352"/>
      <c r="AD341" s="352"/>
      <c r="AE341" s="352"/>
      <c r="AF341" s="352"/>
      <c r="AG341" s="352"/>
      <c r="AH341" s="352"/>
      <c r="AI341" s="352"/>
      <c r="AJ341" s="352"/>
      <c r="AK341" s="352"/>
      <c r="AL341" s="352"/>
      <c r="AM341" s="352"/>
      <c r="AN341" s="352"/>
      <c r="AO341" s="352"/>
      <c r="AP341" s="403" t="s">
        <v>2345</v>
      </c>
      <c r="AQ341" s="403"/>
      <c r="AR341" s="403" t="s">
        <v>2345</v>
      </c>
      <c r="AS341" s="403"/>
    </row>
    <row r="342" spans="1:45" ht="9.75" customHeight="1">
      <c r="A342" s="392"/>
      <c r="B342" s="392"/>
      <c r="C342" s="343" t="s">
        <v>2147</v>
      </c>
      <c r="D342" s="343"/>
      <c r="E342" s="343"/>
      <c r="F342" s="343"/>
      <c r="G342" s="343"/>
      <c r="H342" s="343"/>
      <c r="I342" s="343"/>
      <c r="J342" s="343"/>
      <c r="K342" s="343"/>
      <c r="L342" s="343"/>
      <c r="M342" s="343"/>
      <c r="N342" s="343"/>
      <c r="O342" s="343"/>
      <c r="P342" s="343"/>
      <c r="Q342" s="343"/>
      <c r="R342" s="343"/>
      <c r="S342" s="343"/>
      <c r="T342" s="343"/>
      <c r="U342" s="415" t="s">
        <v>2168</v>
      </c>
      <c r="V342" s="415"/>
      <c r="W342" s="415"/>
      <c r="X342" s="415"/>
      <c r="Y342" s="415"/>
      <c r="Z342" s="352"/>
      <c r="AA342" s="352"/>
      <c r="AB342" s="352"/>
      <c r="AC342" s="352"/>
      <c r="AD342" s="352"/>
      <c r="AE342" s="352"/>
      <c r="AF342" s="352"/>
      <c r="AG342" s="352"/>
      <c r="AH342" s="352"/>
      <c r="AI342" s="352"/>
      <c r="AJ342" s="352"/>
      <c r="AK342" s="352"/>
      <c r="AL342" s="352"/>
      <c r="AM342" s="352"/>
      <c r="AN342" s="352"/>
      <c r="AO342" s="352"/>
      <c r="AP342" s="403" t="s">
        <v>2345</v>
      </c>
      <c r="AQ342" s="403"/>
      <c r="AR342" s="403" t="s">
        <v>2345</v>
      </c>
      <c r="AS342" s="403"/>
    </row>
    <row r="343" spans="1:45" ht="9.75" customHeight="1">
      <c r="A343" s="392"/>
      <c r="B343" s="392"/>
      <c r="C343" s="343" t="s">
        <v>2149</v>
      </c>
      <c r="D343" s="343"/>
      <c r="E343" s="343"/>
      <c r="F343" s="343"/>
      <c r="G343" s="343"/>
      <c r="H343" s="343"/>
      <c r="I343" s="343"/>
      <c r="J343" s="343"/>
      <c r="K343" s="343"/>
      <c r="L343" s="343"/>
      <c r="M343" s="343"/>
      <c r="N343" s="343"/>
      <c r="O343" s="343"/>
      <c r="P343" s="343"/>
      <c r="Q343" s="343"/>
      <c r="R343" s="343"/>
      <c r="S343" s="343"/>
      <c r="T343" s="343"/>
      <c r="U343" s="415" t="s">
        <v>2169</v>
      </c>
      <c r="V343" s="415"/>
      <c r="W343" s="415"/>
      <c r="X343" s="415"/>
      <c r="Y343" s="415"/>
      <c r="Z343" s="352"/>
      <c r="AA343" s="352"/>
      <c r="AB343" s="352"/>
      <c r="AC343" s="352"/>
      <c r="AD343" s="352"/>
      <c r="AE343" s="352"/>
      <c r="AF343" s="352"/>
      <c r="AG343" s="352"/>
      <c r="AH343" s="352"/>
      <c r="AI343" s="352"/>
      <c r="AJ343" s="352"/>
      <c r="AK343" s="352"/>
      <c r="AL343" s="352"/>
      <c r="AM343" s="352"/>
      <c r="AN343" s="352"/>
      <c r="AO343" s="352"/>
      <c r="AP343" s="403" t="s">
        <v>2345</v>
      </c>
      <c r="AQ343" s="403"/>
      <c r="AR343" s="403" t="s">
        <v>2345</v>
      </c>
      <c r="AS343" s="403"/>
    </row>
    <row r="344" spans="1:45" ht="9.75" customHeight="1">
      <c r="A344" s="392"/>
      <c r="B344" s="392"/>
      <c r="C344" s="343" t="s">
        <v>2151</v>
      </c>
      <c r="D344" s="343"/>
      <c r="E344" s="343"/>
      <c r="F344" s="343"/>
      <c r="G344" s="343"/>
      <c r="H344" s="343"/>
      <c r="I344" s="343"/>
      <c r="J344" s="343"/>
      <c r="K344" s="343"/>
      <c r="L344" s="343"/>
      <c r="M344" s="343"/>
      <c r="N344" s="343"/>
      <c r="O344" s="343"/>
      <c r="P344" s="343"/>
      <c r="Q344" s="343"/>
      <c r="R344" s="343"/>
      <c r="S344" s="343"/>
      <c r="T344" s="343"/>
      <c r="U344" s="415" t="s">
        <v>2170</v>
      </c>
      <c r="V344" s="415"/>
      <c r="W344" s="415"/>
      <c r="X344" s="415"/>
      <c r="Y344" s="415"/>
      <c r="Z344" s="352"/>
      <c r="AA344" s="352"/>
      <c r="AB344" s="352"/>
      <c r="AC344" s="352"/>
      <c r="AD344" s="352"/>
      <c r="AE344" s="352"/>
      <c r="AF344" s="352"/>
      <c r="AG344" s="352"/>
      <c r="AH344" s="352"/>
      <c r="AI344" s="352"/>
      <c r="AJ344" s="352"/>
      <c r="AK344" s="352"/>
      <c r="AL344" s="352"/>
      <c r="AM344" s="352"/>
      <c r="AN344" s="352"/>
      <c r="AO344" s="352"/>
      <c r="AP344" s="403" t="s">
        <v>2345</v>
      </c>
      <c r="AQ344" s="403"/>
      <c r="AR344" s="403" t="s">
        <v>2345</v>
      </c>
      <c r="AS344" s="403"/>
    </row>
    <row r="345" spans="1:45" ht="9.75" customHeight="1">
      <c r="A345" s="392"/>
      <c r="B345" s="392"/>
      <c r="C345" s="343" t="s">
        <v>2153</v>
      </c>
      <c r="D345" s="343"/>
      <c r="E345" s="343"/>
      <c r="F345" s="343"/>
      <c r="G345" s="343"/>
      <c r="H345" s="343"/>
      <c r="I345" s="343"/>
      <c r="J345" s="343"/>
      <c r="K345" s="343"/>
      <c r="L345" s="343"/>
      <c r="M345" s="343"/>
      <c r="N345" s="343"/>
      <c r="O345" s="343"/>
      <c r="P345" s="343"/>
      <c r="Q345" s="343"/>
      <c r="R345" s="343"/>
      <c r="S345" s="343"/>
      <c r="T345" s="343"/>
      <c r="U345" s="415" t="s">
        <v>2171</v>
      </c>
      <c r="V345" s="415"/>
      <c r="W345" s="415"/>
      <c r="X345" s="415"/>
      <c r="Y345" s="415"/>
      <c r="Z345" s="352"/>
      <c r="AA345" s="352"/>
      <c r="AB345" s="352"/>
      <c r="AC345" s="352"/>
      <c r="AD345" s="352"/>
      <c r="AE345" s="352"/>
      <c r="AF345" s="352"/>
      <c r="AG345" s="352"/>
      <c r="AH345" s="352"/>
      <c r="AI345" s="352"/>
      <c r="AJ345" s="352"/>
      <c r="AK345" s="352"/>
      <c r="AL345" s="352"/>
      <c r="AM345" s="352"/>
      <c r="AN345" s="352"/>
      <c r="AO345" s="352"/>
      <c r="AP345" s="403" t="s">
        <v>2345</v>
      </c>
      <c r="AQ345" s="403"/>
      <c r="AR345" s="403" t="s">
        <v>2345</v>
      </c>
      <c r="AS345" s="403"/>
    </row>
    <row r="346" spans="1:45" ht="9.75" customHeight="1" thickBot="1">
      <c r="A346" s="416"/>
      <c r="B346" s="416"/>
      <c r="C346" s="345" t="s">
        <v>2155</v>
      </c>
      <c r="D346" s="345"/>
      <c r="E346" s="345"/>
      <c r="F346" s="345"/>
      <c r="G346" s="345"/>
      <c r="H346" s="345"/>
      <c r="I346" s="345"/>
      <c r="J346" s="345"/>
      <c r="K346" s="345"/>
      <c r="L346" s="345"/>
      <c r="M346" s="345"/>
      <c r="N346" s="345"/>
      <c r="O346" s="345"/>
      <c r="P346" s="345"/>
      <c r="Q346" s="345"/>
      <c r="R346" s="345"/>
      <c r="S346" s="345"/>
      <c r="T346" s="345"/>
      <c r="U346" s="417" t="s">
        <v>2172</v>
      </c>
      <c r="V346" s="417"/>
      <c r="W346" s="417"/>
      <c r="X346" s="417"/>
      <c r="Y346" s="417"/>
      <c r="Z346" s="353"/>
      <c r="AA346" s="353"/>
      <c r="AB346" s="353"/>
      <c r="AC346" s="353"/>
      <c r="AD346" s="353"/>
      <c r="AE346" s="353"/>
      <c r="AF346" s="353"/>
      <c r="AG346" s="353"/>
      <c r="AH346" s="353"/>
      <c r="AI346" s="353"/>
      <c r="AJ346" s="353"/>
      <c r="AK346" s="353"/>
      <c r="AL346" s="353"/>
      <c r="AM346" s="353"/>
      <c r="AN346" s="353"/>
      <c r="AO346" s="353"/>
      <c r="AP346" s="418" t="s">
        <v>2345</v>
      </c>
      <c r="AQ346" s="418"/>
      <c r="AR346" s="418" t="s">
        <v>2345</v>
      </c>
      <c r="AS346" s="418"/>
    </row>
    <row r="347" spans="1:45" ht="9.75" customHeight="1">
      <c r="A347" s="366" t="s">
        <v>2173</v>
      </c>
      <c r="B347" s="366"/>
      <c r="C347" s="366"/>
      <c r="D347" s="366"/>
      <c r="E347" s="366"/>
      <c r="F347" s="366"/>
      <c r="G347" s="366"/>
      <c r="H347" s="366"/>
      <c r="I347" s="366"/>
      <c r="J347" s="366"/>
      <c r="K347" s="366"/>
      <c r="L347" s="366"/>
      <c r="M347" s="366"/>
      <c r="N347" s="366"/>
      <c r="O347" s="366"/>
      <c r="P347" s="366"/>
      <c r="Q347" s="366"/>
      <c r="R347" s="366"/>
      <c r="S347" s="366"/>
      <c r="T347" s="366"/>
      <c r="U347" s="366"/>
      <c r="V347" s="366"/>
      <c r="W347" s="366"/>
      <c r="X347" s="366"/>
      <c r="Y347" s="366"/>
      <c r="Z347" s="366"/>
      <c r="AA347" s="366"/>
      <c r="AB347" s="366"/>
      <c r="AC347" s="366"/>
      <c r="AD347" s="366"/>
      <c r="AE347" s="366"/>
      <c r="AF347" s="366"/>
      <c r="AG347" s="366"/>
      <c r="AH347" s="366"/>
      <c r="AI347" s="366"/>
      <c r="AJ347" s="366"/>
      <c r="AK347" s="366"/>
      <c r="AL347" s="366"/>
      <c r="AM347" s="366"/>
      <c r="AN347" s="366"/>
      <c r="AO347" s="366"/>
      <c r="AP347" s="366"/>
      <c r="AQ347" s="366"/>
      <c r="AR347" s="366"/>
      <c r="AS347" s="366"/>
    </row>
    <row r="348" spans="1:45" ht="9.75" customHeight="1">
      <c r="A348" s="392"/>
      <c r="B348" s="392"/>
      <c r="C348" s="343" t="s">
        <v>2174</v>
      </c>
      <c r="D348" s="343"/>
      <c r="E348" s="343"/>
      <c r="F348" s="343"/>
      <c r="G348" s="343"/>
      <c r="H348" s="343"/>
      <c r="I348" s="343"/>
      <c r="J348" s="343"/>
      <c r="K348" s="343"/>
      <c r="L348" s="343"/>
      <c r="M348" s="343"/>
      <c r="N348" s="343"/>
      <c r="O348" s="343"/>
      <c r="P348" s="343"/>
      <c r="Q348" s="343"/>
      <c r="R348" s="343"/>
      <c r="S348" s="343"/>
      <c r="T348" s="343"/>
      <c r="U348" s="415"/>
      <c r="V348" s="415"/>
      <c r="W348" s="415"/>
      <c r="X348" s="415"/>
      <c r="Y348" s="415"/>
      <c r="Z348" s="352"/>
      <c r="AA348" s="352"/>
      <c r="AB348" s="352"/>
      <c r="AC348" s="352"/>
      <c r="AD348" s="352"/>
      <c r="AE348" s="352"/>
      <c r="AF348" s="352"/>
      <c r="AG348" s="352"/>
      <c r="AH348" s="352"/>
      <c r="AI348" s="352"/>
      <c r="AJ348" s="352"/>
      <c r="AK348" s="352"/>
      <c r="AL348" s="352"/>
      <c r="AM348" s="352"/>
      <c r="AN348" s="352"/>
      <c r="AO348" s="352"/>
      <c r="AP348" s="403"/>
      <c r="AQ348" s="403"/>
      <c r="AR348" s="403"/>
      <c r="AS348" s="403"/>
    </row>
    <row r="349" spans="1:45" ht="9.75" customHeight="1">
      <c r="A349" s="392"/>
      <c r="B349" s="392"/>
      <c r="C349" s="343" t="s">
        <v>2175</v>
      </c>
      <c r="D349" s="343"/>
      <c r="E349" s="343"/>
      <c r="F349" s="343"/>
      <c r="G349" s="343"/>
      <c r="H349" s="343"/>
      <c r="I349" s="343"/>
      <c r="J349" s="343"/>
      <c r="K349" s="343"/>
      <c r="L349" s="343"/>
      <c r="M349" s="343"/>
      <c r="N349" s="343"/>
      <c r="O349" s="343"/>
      <c r="P349" s="343"/>
      <c r="Q349" s="343"/>
      <c r="R349" s="343"/>
      <c r="S349" s="343"/>
      <c r="T349" s="343"/>
      <c r="U349" s="415" t="s">
        <v>2176</v>
      </c>
      <c r="V349" s="415"/>
      <c r="W349" s="415"/>
      <c r="X349" s="415"/>
      <c r="Y349" s="415"/>
      <c r="Z349" s="352"/>
      <c r="AA349" s="352"/>
      <c r="AB349" s="352"/>
      <c r="AC349" s="352"/>
      <c r="AD349" s="352"/>
      <c r="AE349" s="352"/>
      <c r="AF349" s="352"/>
      <c r="AG349" s="352"/>
      <c r="AH349" s="352"/>
      <c r="AI349" s="352"/>
      <c r="AJ349" s="352"/>
      <c r="AK349" s="352"/>
      <c r="AL349" s="352"/>
      <c r="AM349" s="352"/>
      <c r="AN349" s="352"/>
      <c r="AO349" s="352"/>
      <c r="AP349" s="403" t="s">
        <v>2345</v>
      </c>
      <c r="AQ349" s="403"/>
      <c r="AR349" s="403" t="s">
        <v>2345</v>
      </c>
      <c r="AS349" s="403"/>
    </row>
    <row r="350" spans="1:45" ht="9.75" customHeight="1">
      <c r="A350" s="392"/>
      <c r="B350" s="392"/>
      <c r="C350" s="343" t="s">
        <v>2177</v>
      </c>
      <c r="D350" s="343"/>
      <c r="E350" s="343"/>
      <c r="F350" s="343"/>
      <c r="G350" s="343"/>
      <c r="H350" s="343"/>
      <c r="I350" s="343"/>
      <c r="J350" s="343"/>
      <c r="K350" s="343"/>
      <c r="L350" s="343"/>
      <c r="M350" s="343"/>
      <c r="N350" s="343"/>
      <c r="O350" s="343"/>
      <c r="P350" s="343"/>
      <c r="Q350" s="343"/>
      <c r="R350" s="343"/>
      <c r="S350" s="343"/>
      <c r="T350" s="343"/>
      <c r="U350" s="415" t="s">
        <v>2178</v>
      </c>
      <c r="V350" s="415"/>
      <c r="W350" s="415"/>
      <c r="X350" s="415"/>
      <c r="Y350" s="415"/>
      <c r="Z350" s="352"/>
      <c r="AA350" s="352"/>
      <c r="AB350" s="352"/>
      <c r="AC350" s="352"/>
      <c r="AD350" s="352"/>
      <c r="AE350" s="352"/>
      <c r="AF350" s="352"/>
      <c r="AG350" s="352"/>
      <c r="AH350" s="352"/>
      <c r="AI350" s="352"/>
      <c r="AJ350" s="352"/>
      <c r="AK350" s="352"/>
      <c r="AL350" s="352"/>
      <c r="AM350" s="352"/>
      <c r="AN350" s="352"/>
      <c r="AO350" s="352"/>
      <c r="AP350" s="403" t="s">
        <v>2345</v>
      </c>
      <c r="AQ350" s="403"/>
      <c r="AR350" s="403" t="s">
        <v>2345</v>
      </c>
      <c r="AS350" s="403"/>
    </row>
    <row r="351" spans="1:45" ht="9.75" customHeight="1" thickBot="1">
      <c r="A351" s="416"/>
      <c r="B351" s="416"/>
      <c r="C351" s="345" t="s">
        <v>2179</v>
      </c>
      <c r="D351" s="345"/>
      <c r="E351" s="345"/>
      <c r="F351" s="345"/>
      <c r="G351" s="345"/>
      <c r="H351" s="345"/>
      <c r="I351" s="345"/>
      <c r="J351" s="345"/>
      <c r="K351" s="345"/>
      <c r="L351" s="345"/>
      <c r="M351" s="345"/>
      <c r="N351" s="345"/>
      <c r="O351" s="345"/>
      <c r="P351" s="345"/>
      <c r="Q351" s="345"/>
      <c r="R351" s="345"/>
      <c r="S351" s="345"/>
      <c r="T351" s="345"/>
      <c r="U351" s="417" t="s">
        <v>2180</v>
      </c>
      <c r="V351" s="417"/>
      <c r="W351" s="417"/>
      <c r="X351" s="417"/>
      <c r="Y351" s="417"/>
      <c r="Z351" s="353"/>
      <c r="AA351" s="353"/>
      <c r="AB351" s="353"/>
      <c r="AC351" s="353"/>
      <c r="AD351" s="353"/>
      <c r="AE351" s="353"/>
      <c r="AF351" s="353"/>
      <c r="AG351" s="353"/>
      <c r="AH351" s="353"/>
      <c r="AI351" s="353"/>
      <c r="AJ351" s="353"/>
      <c r="AK351" s="353"/>
      <c r="AL351" s="353"/>
      <c r="AM351" s="353"/>
      <c r="AN351" s="353"/>
      <c r="AO351" s="353"/>
      <c r="AP351" s="418" t="s">
        <v>2345</v>
      </c>
      <c r="AQ351" s="418"/>
      <c r="AR351" s="418" t="s">
        <v>2345</v>
      </c>
      <c r="AS351" s="418"/>
    </row>
    <row r="352" spans="1:45" ht="13.5" thickBot="1">
      <c r="A352" s="410" t="s">
        <v>2181</v>
      </c>
      <c r="B352" s="410"/>
      <c r="C352" s="410"/>
      <c r="D352" s="410"/>
      <c r="E352" s="410"/>
      <c r="F352" s="410"/>
      <c r="G352" s="410"/>
      <c r="H352" s="410"/>
      <c r="I352" s="410"/>
      <c r="J352" s="410"/>
      <c r="K352" s="410"/>
      <c r="L352" s="410"/>
      <c r="M352" s="410"/>
      <c r="N352" s="410"/>
      <c r="O352" s="410"/>
      <c r="P352" s="410"/>
      <c r="Q352" s="410"/>
      <c r="R352" s="410"/>
      <c r="S352" s="410"/>
      <c r="T352" s="410"/>
      <c r="U352" s="369" t="s">
        <v>641</v>
      </c>
      <c r="V352" s="369"/>
      <c r="W352" s="369"/>
      <c r="X352" s="369"/>
      <c r="Y352" s="369"/>
      <c r="Z352" s="369"/>
      <c r="AA352" s="369"/>
      <c r="AB352" s="369"/>
      <c r="AC352" s="369"/>
      <c r="AD352" s="369"/>
      <c r="AE352" s="369"/>
      <c r="AF352" s="369" t="s">
        <v>2136</v>
      </c>
      <c r="AG352" s="369"/>
      <c r="AH352" s="369"/>
      <c r="AI352" s="369"/>
      <c r="AJ352" s="370" t="s">
        <v>2137</v>
      </c>
      <c r="AK352" s="370"/>
      <c r="AL352" s="370"/>
      <c r="AM352" s="370"/>
      <c r="AN352" s="370"/>
      <c r="AO352" s="370"/>
      <c r="AP352" s="411" t="s">
        <v>2345</v>
      </c>
      <c r="AQ352" s="411"/>
      <c r="AR352" s="419" t="s">
        <v>640</v>
      </c>
      <c r="AS352" s="419"/>
    </row>
    <row r="353" spans="1:45" ht="13.5" thickBot="1">
      <c r="A353" s="414" t="s">
        <v>642</v>
      </c>
      <c r="B353" s="414"/>
      <c r="C353" s="414"/>
      <c r="D353" s="414"/>
      <c r="E353" s="414"/>
      <c r="F353" s="414"/>
      <c r="G353" s="414"/>
      <c r="H353" s="414"/>
      <c r="I353" s="414"/>
      <c r="J353" s="414"/>
      <c r="K353" s="414"/>
      <c r="L353" s="414"/>
      <c r="M353" s="414"/>
      <c r="N353" s="414"/>
      <c r="O353" s="414"/>
      <c r="P353" s="414"/>
      <c r="Q353" s="414"/>
      <c r="R353" s="414"/>
      <c r="S353" s="414"/>
      <c r="T353" s="414"/>
      <c r="U353" s="414"/>
      <c r="V353" s="414"/>
      <c r="W353" s="414"/>
      <c r="X353" s="414"/>
      <c r="Y353" s="414"/>
      <c r="Z353" s="414"/>
      <c r="AA353" s="414"/>
      <c r="AB353" s="414"/>
      <c r="AC353" s="414"/>
      <c r="AD353" s="414"/>
      <c r="AE353" s="414"/>
      <c r="AF353" s="414"/>
      <c r="AG353" s="414"/>
      <c r="AH353" s="414"/>
      <c r="AI353" s="414"/>
      <c r="AJ353" s="414"/>
      <c r="AK353" s="414"/>
      <c r="AL353" s="414"/>
      <c r="AM353" s="414"/>
      <c r="AN353" s="414"/>
      <c r="AO353" s="414"/>
      <c r="AP353" s="414"/>
      <c r="AQ353" s="414"/>
      <c r="AR353" s="414"/>
      <c r="AS353" s="414"/>
    </row>
    <row r="354" spans="1:45" ht="12.75">
      <c r="A354" s="392"/>
      <c r="B354" s="392"/>
      <c r="C354" s="343" t="s">
        <v>643</v>
      </c>
      <c r="D354" s="343"/>
      <c r="E354" s="343"/>
      <c r="F354" s="343"/>
      <c r="G354" s="343" t="s">
        <v>644</v>
      </c>
      <c r="H354" s="343"/>
      <c r="I354" s="343"/>
      <c r="J354" s="343"/>
      <c r="K354" s="343"/>
      <c r="L354" s="343"/>
      <c r="M354" s="343"/>
      <c r="N354" s="343"/>
      <c r="O354" s="343"/>
      <c r="P354" s="343"/>
      <c r="Q354" s="343"/>
      <c r="R354" s="343"/>
      <c r="S354" s="343"/>
      <c r="T354" s="343"/>
      <c r="U354" s="352" t="s">
        <v>645</v>
      </c>
      <c r="V354" s="352"/>
      <c r="W354" s="352"/>
      <c r="X354" s="352"/>
      <c r="Y354" s="352"/>
      <c r="Z354" s="352" t="s">
        <v>1579</v>
      </c>
      <c r="AA354" s="352"/>
      <c r="AB354" s="352"/>
      <c r="AC354" s="352"/>
      <c r="AD354" s="352"/>
      <c r="AE354" s="352"/>
      <c r="AF354" s="352" t="s">
        <v>1580</v>
      </c>
      <c r="AG354" s="352"/>
      <c r="AH354" s="352"/>
      <c r="AI354" s="352"/>
      <c r="AJ354" s="352" t="s">
        <v>1581</v>
      </c>
      <c r="AK354" s="352"/>
      <c r="AL354" s="352"/>
      <c r="AM354" s="352"/>
      <c r="AN354" s="352"/>
      <c r="AO354" s="352"/>
      <c r="AP354" s="403" t="s">
        <v>646</v>
      </c>
      <c r="AQ354" s="403"/>
      <c r="AR354" s="403" t="s">
        <v>647</v>
      </c>
      <c r="AS354" s="403"/>
    </row>
    <row r="355" spans="1:45" ht="12.75">
      <c r="A355" s="392"/>
      <c r="B355" s="392"/>
      <c r="C355" s="343" t="s">
        <v>648</v>
      </c>
      <c r="D355" s="343"/>
      <c r="E355" s="343"/>
      <c r="F355" s="343"/>
      <c r="G355" s="343" t="s">
        <v>649</v>
      </c>
      <c r="H355" s="343"/>
      <c r="I355" s="343"/>
      <c r="J355" s="343"/>
      <c r="K355" s="343"/>
      <c r="L355" s="343"/>
      <c r="M355" s="343"/>
      <c r="N355" s="343"/>
      <c r="O355" s="343"/>
      <c r="P355" s="343"/>
      <c r="Q355" s="343"/>
      <c r="R355" s="343"/>
      <c r="S355" s="343"/>
      <c r="T355" s="343"/>
      <c r="U355" s="352" t="s">
        <v>650</v>
      </c>
      <c r="V355" s="352"/>
      <c r="W355" s="352"/>
      <c r="X355" s="352"/>
      <c r="Y355" s="352"/>
      <c r="Z355" s="352" t="s">
        <v>1583</v>
      </c>
      <c r="AA355" s="352"/>
      <c r="AB355" s="352"/>
      <c r="AC355" s="352"/>
      <c r="AD355" s="352"/>
      <c r="AE355" s="352"/>
      <c r="AF355" s="352" t="s">
        <v>1584</v>
      </c>
      <c r="AG355" s="352"/>
      <c r="AH355" s="352"/>
      <c r="AI355" s="352"/>
      <c r="AJ355" s="352" t="s">
        <v>1585</v>
      </c>
      <c r="AK355" s="352"/>
      <c r="AL355" s="352"/>
      <c r="AM355" s="352"/>
      <c r="AN355" s="352"/>
      <c r="AO355" s="352"/>
      <c r="AP355" s="403" t="s">
        <v>651</v>
      </c>
      <c r="AQ355" s="403"/>
      <c r="AR355" s="403" t="s">
        <v>652</v>
      </c>
      <c r="AS355" s="403"/>
    </row>
    <row r="356" spans="1:45" ht="12.75">
      <c r="A356" s="392"/>
      <c r="B356" s="392"/>
      <c r="C356" s="343" t="s">
        <v>653</v>
      </c>
      <c r="D356" s="343"/>
      <c r="E356" s="343"/>
      <c r="F356" s="343"/>
      <c r="G356" s="343" t="s">
        <v>654</v>
      </c>
      <c r="H356" s="343"/>
      <c r="I356" s="343"/>
      <c r="J356" s="343"/>
      <c r="K356" s="343"/>
      <c r="L356" s="343"/>
      <c r="M356" s="343"/>
      <c r="N356" s="343"/>
      <c r="O356" s="343"/>
      <c r="P356" s="343"/>
      <c r="Q356" s="343"/>
      <c r="R356" s="343"/>
      <c r="S356" s="343"/>
      <c r="T356" s="343"/>
      <c r="U356" s="352" t="s">
        <v>655</v>
      </c>
      <c r="V356" s="352"/>
      <c r="W356" s="352"/>
      <c r="X356" s="352"/>
      <c r="Y356" s="352"/>
      <c r="Z356" s="352"/>
      <c r="AA356" s="352"/>
      <c r="AB356" s="352"/>
      <c r="AC356" s="352"/>
      <c r="AD356" s="352"/>
      <c r="AE356" s="352"/>
      <c r="AF356" s="352"/>
      <c r="AG356" s="352"/>
      <c r="AH356" s="352"/>
      <c r="AI356" s="352"/>
      <c r="AJ356" s="352"/>
      <c r="AK356" s="352"/>
      <c r="AL356" s="352"/>
      <c r="AM356" s="352"/>
      <c r="AN356" s="352"/>
      <c r="AO356" s="352"/>
      <c r="AP356" s="403" t="s">
        <v>2345</v>
      </c>
      <c r="AQ356" s="403"/>
      <c r="AR356" s="403" t="s">
        <v>2345</v>
      </c>
      <c r="AS356" s="403"/>
    </row>
    <row r="357" spans="1:45" ht="13.5" thickBot="1">
      <c r="A357" s="416"/>
      <c r="B357" s="416"/>
      <c r="C357" s="345" t="s">
        <v>656</v>
      </c>
      <c r="D357" s="345"/>
      <c r="E357" s="345"/>
      <c r="F357" s="345"/>
      <c r="G357" s="345" t="s">
        <v>657</v>
      </c>
      <c r="H357" s="345"/>
      <c r="I357" s="345"/>
      <c r="J357" s="345"/>
      <c r="K357" s="345"/>
      <c r="L357" s="345"/>
      <c r="M357" s="345"/>
      <c r="N357" s="345"/>
      <c r="O357" s="345"/>
      <c r="P357" s="345"/>
      <c r="Q357" s="345"/>
      <c r="R357" s="345"/>
      <c r="S357" s="345"/>
      <c r="T357" s="345"/>
      <c r="U357" s="353" t="s">
        <v>658</v>
      </c>
      <c r="V357" s="353"/>
      <c r="W357" s="353"/>
      <c r="X357" s="353"/>
      <c r="Y357" s="353"/>
      <c r="Z357" s="353" t="s">
        <v>1588</v>
      </c>
      <c r="AA357" s="353"/>
      <c r="AB357" s="353"/>
      <c r="AC357" s="353"/>
      <c r="AD357" s="353"/>
      <c r="AE357" s="353"/>
      <c r="AF357" s="353" t="s">
        <v>1589</v>
      </c>
      <c r="AG357" s="353"/>
      <c r="AH357" s="353"/>
      <c r="AI357" s="353"/>
      <c r="AJ357" s="353" t="s">
        <v>1590</v>
      </c>
      <c r="AK357" s="353"/>
      <c r="AL357" s="353"/>
      <c r="AM357" s="353"/>
      <c r="AN357" s="353"/>
      <c r="AO357" s="353"/>
      <c r="AP357" s="418" t="s">
        <v>659</v>
      </c>
      <c r="AQ357" s="418"/>
      <c r="AR357" s="418" t="s">
        <v>660</v>
      </c>
      <c r="AS357" s="418"/>
    </row>
    <row r="358" spans="1:45" ht="13.5" thickBot="1">
      <c r="A358" s="356" t="s">
        <v>1591</v>
      </c>
      <c r="B358" s="356"/>
      <c r="C358" s="356"/>
      <c r="D358" s="356"/>
      <c r="E358" s="356"/>
      <c r="F358" s="356"/>
      <c r="G358" s="356"/>
      <c r="H358" s="356"/>
      <c r="I358" s="356"/>
      <c r="J358" s="356"/>
      <c r="K358" s="356"/>
      <c r="L358" s="356"/>
      <c r="M358" s="356"/>
      <c r="N358" s="356"/>
      <c r="O358" s="356"/>
      <c r="P358" s="356"/>
      <c r="Q358" s="356"/>
      <c r="R358" s="356"/>
      <c r="S358" s="356"/>
      <c r="T358" s="356"/>
      <c r="U358" s="369" t="s">
        <v>661</v>
      </c>
      <c r="V358" s="369"/>
      <c r="W358" s="369"/>
      <c r="X358" s="369"/>
      <c r="Y358" s="369"/>
      <c r="Z358" s="357" t="s">
        <v>1592</v>
      </c>
      <c r="AA358" s="357"/>
      <c r="AB358" s="357"/>
      <c r="AC358" s="357"/>
      <c r="AD358" s="357"/>
      <c r="AE358" s="357"/>
      <c r="AF358" s="357" t="s">
        <v>1593</v>
      </c>
      <c r="AG358" s="357"/>
      <c r="AH358" s="357"/>
      <c r="AI358" s="357"/>
      <c r="AJ358" s="357" t="s">
        <v>1594</v>
      </c>
      <c r="AK358" s="357"/>
      <c r="AL358" s="357"/>
      <c r="AM358" s="357"/>
      <c r="AN358" s="357"/>
      <c r="AO358" s="357"/>
      <c r="AP358" s="420" t="s">
        <v>2406</v>
      </c>
      <c r="AQ358" s="420"/>
      <c r="AR358" s="420" t="s">
        <v>2407</v>
      </c>
      <c r="AS358" s="420"/>
    </row>
    <row r="359" spans="1:45" ht="13.5" thickBot="1">
      <c r="A359" s="421" t="s">
        <v>662</v>
      </c>
      <c r="B359" s="421"/>
      <c r="C359" s="421"/>
      <c r="D359" s="421"/>
      <c r="E359" s="421"/>
      <c r="F359" s="421"/>
      <c r="G359" s="421"/>
      <c r="H359" s="421"/>
      <c r="I359" s="421"/>
      <c r="J359" s="421"/>
      <c r="K359" s="421"/>
      <c r="L359" s="421"/>
      <c r="M359" s="421"/>
      <c r="N359" s="421"/>
      <c r="O359" s="421"/>
      <c r="P359" s="421"/>
      <c r="Q359" s="421"/>
      <c r="R359" s="421"/>
      <c r="S359" s="421"/>
      <c r="T359" s="421"/>
      <c r="U359" s="422" t="s">
        <v>663</v>
      </c>
      <c r="V359" s="422"/>
      <c r="W359" s="422"/>
      <c r="X359" s="422"/>
      <c r="Y359" s="422"/>
      <c r="Z359" s="423" t="s">
        <v>1596</v>
      </c>
      <c r="AA359" s="423"/>
      <c r="AB359" s="423"/>
      <c r="AC359" s="423"/>
      <c r="AD359" s="423"/>
      <c r="AE359" s="423"/>
      <c r="AF359" s="423" t="s">
        <v>1596</v>
      </c>
      <c r="AG359" s="423"/>
      <c r="AH359" s="423"/>
      <c r="AI359" s="423"/>
      <c r="AJ359" s="423" t="s">
        <v>1597</v>
      </c>
      <c r="AK359" s="423"/>
      <c r="AL359" s="423"/>
      <c r="AM359" s="423"/>
      <c r="AN359" s="423"/>
      <c r="AO359" s="423"/>
      <c r="AP359" s="424" t="s">
        <v>2358</v>
      </c>
      <c r="AQ359" s="424"/>
      <c r="AR359" s="424" t="s">
        <v>2358</v>
      </c>
      <c r="AS359" s="424"/>
    </row>
    <row r="360" spans="1:45" ht="12.75">
      <c r="A360" s="412"/>
      <c r="B360" s="412"/>
      <c r="C360" s="354" t="s">
        <v>664</v>
      </c>
      <c r="D360" s="354"/>
      <c r="E360" s="354"/>
      <c r="F360" s="354"/>
      <c r="G360" s="354"/>
      <c r="H360" s="354"/>
      <c r="I360" s="354"/>
      <c r="J360" s="354"/>
      <c r="K360" s="354"/>
      <c r="L360" s="354"/>
      <c r="M360" s="354"/>
      <c r="N360" s="354"/>
      <c r="O360" s="354"/>
      <c r="P360" s="354"/>
      <c r="Q360" s="354"/>
      <c r="R360" s="354"/>
      <c r="S360" s="354"/>
      <c r="T360" s="354"/>
      <c r="U360" s="354"/>
      <c r="V360" s="354"/>
      <c r="W360" s="354"/>
      <c r="X360" s="354"/>
      <c r="Y360" s="354"/>
      <c r="Z360" s="354"/>
      <c r="AA360" s="354"/>
      <c r="AB360" s="354"/>
      <c r="AC360" s="354"/>
      <c r="AD360" s="354"/>
      <c r="AE360" s="354"/>
      <c r="AF360" s="354"/>
      <c r="AG360" s="354"/>
      <c r="AH360" s="354"/>
      <c r="AI360" s="354"/>
      <c r="AJ360" s="354"/>
      <c r="AK360" s="354"/>
      <c r="AL360" s="354"/>
      <c r="AM360" s="354"/>
      <c r="AN360" s="354"/>
      <c r="AO360" s="354"/>
      <c r="AP360" s="354"/>
      <c r="AQ360" s="354"/>
      <c r="AR360" s="354"/>
      <c r="AS360" s="354"/>
    </row>
    <row r="361" spans="1:45" ht="22.5" customHeight="1">
      <c r="A361" s="367"/>
      <c r="B361" s="425" t="s">
        <v>665</v>
      </c>
      <c r="C361" s="425"/>
      <c r="D361" s="425"/>
      <c r="E361" s="425"/>
      <c r="F361" s="425"/>
      <c r="G361" s="426" t="s">
        <v>666</v>
      </c>
      <c r="H361" s="426"/>
      <c r="I361" s="426"/>
      <c r="J361" s="426"/>
      <c r="K361" s="426"/>
      <c r="L361" s="426"/>
      <c r="M361" s="426"/>
      <c r="N361" s="426"/>
      <c r="O361" s="426"/>
      <c r="P361" s="426"/>
      <c r="Q361" s="426"/>
      <c r="R361" s="426"/>
      <c r="S361" s="426"/>
      <c r="T361" s="426"/>
      <c r="U361" s="427" t="s">
        <v>667</v>
      </c>
      <c r="V361" s="427"/>
      <c r="W361" s="427"/>
      <c r="X361" s="427"/>
      <c r="Y361" s="427"/>
      <c r="Z361" s="427"/>
      <c r="AA361" s="427"/>
      <c r="AB361" s="427"/>
      <c r="AC361" s="427"/>
      <c r="AD361" s="427"/>
      <c r="AE361" s="427"/>
      <c r="AF361" s="427"/>
      <c r="AG361" s="427"/>
      <c r="AH361" s="427"/>
      <c r="AI361" s="427"/>
      <c r="AJ361" s="427"/>
      <c r="AK361" s="427"/>
      <c r="AL361" s="427"/>
      <c r="AM361" s="427"/>
      <c r="AN361" s="427"/>
      <c r="AO361" s="427"/>
      <c r="AP361" s="428" t="s">
        <v>2345</v>
      </c>
      <c r="AQ361" s="428"/>
      <c r="AR361" s="428" t="s">
        <v>2345</v>
      </c>
      <c r="AS361" s="428"/>
    </row>
    <row r="362" spans="1:45" ht="10.5" customHeight="1">
      <c r="A362" s="367"/>
      <c r="B362" s="429" t="s">
        <v>668</v>
      </c>
      <c r="C362" s="429"/>
      <c r="D362" s="429"/>
      <c r="E362" s="429"/>
      <c r="F362" s="429"/>
      <c r="G362" s="430" t="s">
        <v>669</v>
      </c>
      <c r="H362" s="430"/>
      <c r="I362" s="430"/>
      <c r="J362" s="430"/>
      <c r="K362" s="430"/>
      <c r="L362" s="430"/>
      <c r="M362" s="430"/>
      <c r="N362" s="430"/>
      <c r="O362" s="430"/>
      <c r="P362" s="430"/>
      <c r="Q362" s="430"/>
      <c r="R362" s="430"/>
      <c r="S362" s="430"/>
      <c r="T362" s="430"/>
      <c r="U362" s="431" t="s">
        <v>670</v>
      </c>
      <c r="V362" s="431"/>
      <c r="W362" s="431"/>
      <c r="X362" s="431"/>
      <c r="Y362" s="431"/>
      <c r="Z362" s="431"/>
      <c r="AA362" s="431"/>
      <c r="AB362" s="431"/>
      <c r="AC362" s="431"/>
      <c r="AD362" s="431"/>
      <c r="AE362" s="431"/>
      <c r="AF362" s="431"/>
      <c r="AG362" s="431"/>
      <c r="AH362" s="431"/>
      <c r="AI362" s="431"/>
      <c r="AJ362" s="431"/>
      <c r="AK362" s="431"/>
      <c r="AL362" s="431"/>
      <c r="AM362" s="431"/>
      <c r="AN362" s="431"/>
      <c r="AO362" s="431"/>
      <c r="AP362" s="432" t="s">
        <v>2345</v>
      </c>
      <c r="AQ362" s="432"/>
      <c r="AR362" s="432" t="s">
        <v>2345</v>
      </c>
      <c r="AS362" s="432"/>
    </row>
    <row r="363" spans="1:45" ht="22.5" customHeight="1">
      <c r="A363" s="367"/>
      <c r="B363" s="429" t="s">
        <v>671</v>
      </c>
      <c r="C363" s="429"/>
      <c r="D363" s="429"/>
      <c r="E363" s="429"/>
      <c r="F363" s="429"/>
      <c r="G363" s="430" t="s">
        <v>672</v>
      </c>
      <c r="H363" s="430"/>
      <c r="I363" s="430"/>
      <c r="J363" s="430"/>
      <c r="K363" s="430"/>
      <c r="L363" s="430"/>
      <c r="M363" s="430"/>
      <c r="N363" s="430"/>
      <c r="O363" s="430"/>
      <c r="P363" s="430"/>
      <c r="Q363" s="430"/>
      <c r="R363" s="430"/>
      <c r="S363" s="430"/>
      <c r="T363" s="430"/>
      <c r="U363" s="431" t="s">
        <v>673</v>
      </c>
      <c r="V363" s="431"/>
      <c r="W363" s="431"/>
      <c r="X363" s="431"/>
      <c r="Y363" s="431"/>
      <c r="Z363" s="431"/>
      <c r="AA363" s="431"/>
      <c r="AB363" s="431"/>
      <c r="AC363" s="431"/>
      <c r="AD363" s="431"/>
      <c r="AE363" s="431"/>
      <c r="AF363" s="431"/>
      <c r="AG363" s="431"/>
      <c r="AH363" s="431"/>
      <c r="AI363" s="431"/>
      <c r="AJ363" s="431"/>
      <c r="AK363" s="431"/>
      <c r="AL363" s="431"/>
      <c r="AM363" s="431"/>
      <c r="AN363" s="431"/>
      <c r="AO363" s="431"/>
      <c r="AP363" s="432" t="s">
        <v>2345</v>
      </c>
      <c r="AQ363" s="432"/>
      <c r="AR363" s="432" t="s">
        <v>2345</v>
      </c>
      <c r="AS363" s="432"/>
    </row>
    <row r="364" spans="1:45" ht="10.5" customHeight="1">
      <c r="A364" s="367"/>
      <c r="B364" s="429" t="s">
        <v>674</v>
      </c>
      <c r="C364" s="429"/>
      <c r="D364" s="429"/>
      <c r="E364" s="429"/>
      <c r="F364" s="429"/>
      <c r="G364" s="430" t="s">
        <v>675</v>
      </c>
      <c r="H364" s="430"/>
      <c r="I364" s="430"/>
      <c r="J364" s="430"/>
      <c r="K364" s="430"/>
      <c r="L364" s="430"/>
      <c r="M364" s="430"/>
      <c r="N364" s="430"/>
      <c r="O364" s="430"/>
      <c r="P364" s="430"/>
      <c r="Q364" s="430"/>
      <c r="R364" s="430"/>
      <c r="S364" s="430"/>
      <c r="T364" s="430"/>
      <c r="U364" s="431" t="s">
        <v>676</v>
      </c>
      <c r="V364" s="431"/>
      <c r="W364" s="431"/>
      <c r="X364" s="431"/>
      <c r="Y364" s="431"/>
      <c r="Z364" s="431"/>
      <c r="AA364" s="431"/>
      <c r="AB364" s="431"/>
      <c r="AC364" s="431"/>
      <c r="AD364" s="431"/>
      <c r="AE364" s="431"/>
      <c r="AF364" s="431"/>
      <c r="AG364" s="431"/>
      <c r="AH364" s="431"/>
      <c r="AI364" s="431"/>
      <c r="AJ364" s="431"/>
      <c r="AK364" s="431"/>
      <c r="AL364" s="431"/>
      <c r="AM364" s="431"/>
      <c r="AN364" s="431"/>
      <c r="AO364" s="431"/>
      <c r="AP364" s="432" t="s">
        <v>2345</v>
      </c>
      <c r="AQ364" s="432"/>
      <c r="AR364" s="432" t="s">
        <v>2345</v>
      </c>
      <c r="AS364" s="432"/>
    </row>
    <row r="365" spans="1:45" ht="10.5" customHeight="1">
      <c r="A365" s="367"/>
      <c r="B365" s="429" t="s">
        <v>677</v>
      </c>
      <c r="C365" s="429"/>
      <c r="D365" s="429"/>
      <c r="E365" s="429"/>
      <c r="F365" s="429"/>
      <c r="G365" s="430" t="s">
        <v>678</v>
      </c>
      <c r="H365" s="430"/>
      <c r="I365" s="430"/>
      <c r="J365" s="430"/>
      <c r="K365" s="430"/>
      <c r="L365" s="430"/>
      <c r="M365" s="430"/>
      <c r="N365" s="430"/>
      <c r="O365" s="430"/>
      <c r="P365" s="430"/>
      <c r="Q365" s="430"/>
      <c r="R365" s="430"/>
      <c r="S365" s="430"/>
      <c r="T365" s="430"/>
      <c r="U365" s="431" t="s">
        <v>679</v>
      </c>
      <c r="V365" s="431"/>
      <c r="W365" s="431"/>
      <c r="X365" s="431"/>
      <c r="Y365" s="431"/>
      <c r="Z365" s="431"/>
      <c r="AA365" s="431"/>
      <c r="AB365" s="431"/>
      <c r="AC365" s="431"/>
      <c r="AD365" s="431"/>
      <c r="AE365" s="431"/>
      <c r="AF365" s="431"/>
      <c r="AG365" s="431"/>
      <c r="AH365" s="431"/>
      <c r="AI365" s="431"/>
      <c r="AJ365" s="431"/>
      <c r="AK365" s="431"/>
      <c r="AL365" s="431"/>
      <c r="AM365" s="431"/>
      <c r="AN365" s="431"/>
      <c r="AO365" s="431"/>
      <c r="AP365" s="432" t="s">
        <v>2345</v>
      </c>
      <c r="AQ365" s="432"/>
      <c r="AR365" s="432" t="s">
        <v>2345</v>
      </c>
      <c r="AS365" s="432"/>
    </row>
    <row r="366" spans="1:45" ht="10.5" customHeight="1">
      <c r="A366" s="367"/>
      <c r="B366" s="429" t="s">
        <v>680</v>
      </c>
      <c r="C366" s="429"/>
      <c r="D366" s="429"/>
      <c r="E366" s="429"/>
      <c r="F366" s="429"/>
      <c r="G366" s="430" t="s">
        <v>681</v>
      </c>
      <c r="H366" s="430"/>
      <c r="I366" s="430"/>
      <c r="J366" s="430"/>
      <c r="K366" s="430"/>
      <c r="L366" s="430"/>
      <c r="M366" s="430"/>
      <c r="N366" s="430"/>
      <c r="O366" s="430"/>
      <c r="P366" s="430"/>
      <c r="Q366" s="430"/>
      <c r="R366" s="430"/>
      <c r="S366" s="430"/>
      <c r="T366" s="430"/>
      <c r="U366" s="431" t="s">
        <v>682</v>
      </c>
      <c r="V366" s="431"/>
      <c r="W366" s="431"/>
      <c r="X366" s="431"/>
      <c r="Y366" s="431"/>
      <c r="Z366" s="431"/>
      <c r="AA366" s="431"/>
      <c r="AB366" s="431"/>
      <c r="AC366" s="431"/>
      <c r="AD366" s="431"/>
      <c r="AE366" s="431"/>
      <c r="AF366" s="431"/>
      <c r="AG366" s="431"/>
      <c r="AH366" s="431"/>
      <c r="AI366" s="431"/>
      <c r="AJ366" s="431"/>
      <c r="AK366" s="431"/>
      <c r="AL366" s="431"/>
      <c r="AM366" s="431"/>
      <c r="AN366" s="431"/>
      <c r="AO366" s="431"/>
      <c r="AP366" s="432" t="s">
        <v>2345</v>
      </c>
      <c r="AQ366" s="432"/>
      <c r="AR366" s="432" t="s">
        <v>2345</v>
      </c>
      <c r="AS366" s="432"/>
    </row>
    <row r="367" spans="1:45" ht="22.5" customHeight="1">
      <c r="A367" s="367"/>
      <c r="B367" s="429" t="s">
        <v>683</v>
      </c>
      <c r="C367" s="429"/>
      <c r="D367" s="429"/>
      <c r="E367" s="429"/>
      <c r="F367" s="429"/>
      <c r="G367" s="430" t="s">
        <v>684</v>
      </c>
      <c r="H367" s="430"/>
      <c r="I367" s="430"/>
      <c r="J367" s="430"/>
      <c r="K367" s="430"/>
      <c r="L367" s="430"/>
      <c r="M367" s="430"/>
      <c r="N367" s="430"/>
      <c r="O367" s="430"/>
      <c r="P367" s="430"/>
      <c r="Q367" s="430"/>
      <c r="R367" s="430"/>
      <c r="S367" s="430"/>
      <c r="T367" s="430"/>
      <c r="U367" s="431" t="s">
        <v>685</v>
      </c>
      <c r="V367" s="431"/>
      <c r="W367" s="431"/>
      <c r="X367" s="431"/>
      <c r="Y367" s="431"/>
      <c r="Z367" s="431"/>
      <c r="AA367" s="431"/>
      <c r="AB367" s="431"/>
      <c r="AC367" s="431"/>
      <c r="AD367" s="431"/>
      <c r="AE367" s="431"/>
      <c r="AF367" s="431"/>
      <c r="AG367" s="431"/>
      <c r="AH367" s="431"/>
      <c r="AI367" s="431"/>
      <c r="AJ367" s="431"/>
      <c r="AK367" s="431"/>
      <c r="AL367" s="431"/>
      <c r="AM367" s="431"/>
      <c r="AN367" s="431"/>
      <c r="AO367" s="431"/>
      <c r="AP367" s="432" t="s">
        <v>2345</v>
      </c>
      <c r="AQ367" s="432"/>
      <c r="AR367" s="432" t="s">
        <v>2345</v>
      </c>
      <c r="AS367" s="432"/>
    </row>
    <row r="368" spans="1:45" ht="10.5" customHeight="1">
      <c r="A368" s="367"/>
      <c r="B368" s="429" t="s">
        <v>686</v>
      </c>
      <c r="C368" s="429"/>
      <c r="D368" s="429"/>
      <c r="E368" s="429"/>
      <c r="F368" s="429"/>
      <c r="G368" s="430" t="s">
        <v>1751</v>
      </c>
      <c r="H368" s="430"/>
      <c r="I368" s="430"/>
      <c r="J368" s="430"/>
      <c r="K368" s="430"/>
      <c r="L368" s="430"/>
      <c r="M368" s="430"/>
      <c r="N368" s="430"/>
      <c r="O368" s="430"/>
      <c r="P368" s="430"/>
      <c r="Q368" s="430"/>
      <c r="R368" s="430"/>
      <c r="S368" s="430"/>
      <c r="T368" s="430"/>
      <c r="U368" s="431" t="s">
        <v>687</v>
      </c>
      <c r="V368" s="431"/>
      <c r="W368" s="431"/>
      <c r="X368" s="431"/>
      <c r="Y368" s="431"/>
      <c r="Z368" s="431" t="s">
        <v>1752</v>
      </c>
      <c r="AA368" s="431"/>
      <c r="AB368" s="431"/>
      <c r="AC368" s="431"/>
      <c r="AD368" s="431"/>
      <c r="AE368" s="431"/>
      <c r="AF368" s="431" t="s">
        <v>1753</v>
      </c>
      <c r="AG368" s="431"/>
      <c r="AH368" s="431"/>
      <c r="AI368" s="431"/>
      <c r="AJ368" s="431" t="s">
        <v>1754</v>
      </c>
      <c r="AK368" s="431"/>
      <c r="AL368" s="431"/>
      <c r="AM368" s="431"/>
      <c r="AN368" s="431"/>
      <c r="AO368" s="431"/>
      <c r="AP368" s="432" t="s">
        <v>2355</v>
      </c>
      <c r="AQ368" s="432"/>
      <c r="AR368" s="432" t="s">
        <v>2353</v>
      </c>
      <c r="AS368" s="432"/>
    </row>
    <row r="369" spans="1:45" ht="10.5" customHeight="1">
      <c r="A369" s="367"/>
      <c r="B369" s="429" t="s">
        <v>688</v>
      </c>
      <c r="C369" s="429"/>
      <c r="D369" s="429"/>
      <c r="E369" s="429"/>
      <c r="F369" s="429"/>
      <c r="G369" s="430" t="s">
        <v>689</v>
      </c>
      <c r="H369" s="430"/>
      <c r="I369" s="430"/>
      <c r="J369" s="430"/>
      <c r="K369" s="430"/>
      <c r="L369" s="430"/>
      <c r="M369" s="430"/>
      <c r="N369" s="430"/>
      <c r="O369" s="430"/>
      <c r="P369" s="430"/>
      <c r="Q369" s="430"/>
      <c r="R369" s="430"/>
      <c r="S369" s="430"/>
      <c r="T369" s="430"/>
      <c r="U369" s="431" t="s">
        <v>690</v>
      </c>
      <c r="V369" s="431"/>
      <c r="W369" s="431"/>
      <c r="X369" s="431"/>
      <c r="Y369" s="431"/>
      <c r="Z369" s="431"/>
      <c r="AA369" s="431"/>
      <c r="AB369" s="431"/>
      <c r="AC369" s="431"/>
      <c r="AD369" s="431"/>
      <c r="AE369" s="431"/>
      <c r="AF369" s="431"/>
      <c r="AG369" s="431"/>
      <c r="AH369" s="431"/>
      <c r="AI369" s="431"/>
      <c r="AJ369" s="431"/>
      <c r="AK369" s="431"/>
      <c r="AL369" s="431"/>
      <c r="AM369" s="431"/>
      <c r="AN369" s="431"/>
      <c r="AO369" s="431"/>
      <c r="AP369" s="432" t="s">
        <v>2345</v>
      </c>
      <c r="AQ369" s="432"/>
      <c r="AR369" s="432" t="s">
        <v>2345</v>
      </c>
      <c r="AS369" s="432"/>
    </row>
    <row r="370" spans="1:45" ht="10.5" customHeight="1">
      <c r="A370" s="367"/>
      <c r="B370" s="429" t="s">
        <v>691</v>
      </c>
      <c r="C370" s="429"/>
      <c r="D370" s="429"/>
      <c r="E370" s="429"/>
      <c r="F370" s="429"/>
      <c r="G370" s="430" t="s">
        <v>692</v>
      </c>
      <c r="H370" s="430"/>
      <c r="I370" s="430"/>
      <c r="J370" s="430"/>
      <c r="K370" s="430"/>
      <c r="L370" s="430"/>
      <c r="M370" s="430"/>
      <c r="N370" s="430"/>
      <c r="O370" s="430"/>
      <c r="P370" s="430"/>
      <c r="Q370" s="430"/>
      <c r="R370" s="430"/>
      <c r="S370" s="430"/>
      <c r="T370" s="430"/>
      <c r="U370" s="431" t="s">
        <v>1735</v>
      </c>
      <c r="V370" s="431"/>
      <c r="W370" s="431"/>
      <c r="X370" s="431"/>
      <c r="Y370" s="431"/>
      <c r="Z370" s="431"/>
      <c r="AA370" s="431"/>
      <c r="AB370" s="431"/>
      <c r="AC370" s="431"/>
      <c r="AD370" s="431"/>
      <c r="AE370" s="431"/>
      <c r="AF370" s="431"/>
      <c r="AG370" s="431"/>
      <c r="AH370" s="431"/>
      <c r="AI370" s="431"/>
      <c r="AJ370" s="431"/>
      <c r="AK370" s="431"/>
      <c r="AL370" s="431"/>
      <c r="AM370" s="431"/>
      <c r="AN370" s="431"/>
      <c r="AO370" s="431"/>
      <c r="AP370" s="432" t="s">
        <v>2345</v>
      </c>
      <c r="AQ370" s="432"/>
      <c r="AR370" s="432" t="s">
        <v>2345</v>
      </c>
      <c r="AS370" s="432"/>
    </row>
    <row r="371" spans="1:45" ht="22.5" customHeight="1">
      <c r="A371" s="367"/>
      <c r="B371" s="429" t="s">
        <v>693</v>
      </c>
      <c r="C371" s="429"/>
      <c r="D371" s="429"/>
      <c r="E371" s="429"/>
      <c r="F371" s="429"/>
      <c r="G371" s="430" t="s">
        <v>694</v>
      </c>
      <c r="H371" s="430"/>
      <c r="I371" s="430"/>
      <c r="J371" s="430"/>
      <c r="K371" s="430"/>
      <c r="L371" s="430"/>
      <c r="M371" s="430"/>
      <c r="N371" s="430"/>
      <c r="O371" s="430"/>
      <c r="P371" s="430"/>
      <c r="Q371" s="430"/>
      <c r="R371" s="430"/>
      <c r="S371" s="430"/>
      <c r="T371" s="430"/>
      <c r="U371" s="431" t="s">
        <v>695</v>
      </c>
      <c r="V371" s="431"/>
      <c r="W371" s="431"/>
      <c r="X371" s="431"/>
      <c r="Y371" s="431"/>
      <c r="Z371" s="431"/>
      <c r="AA371" s="431"/>
      <c r="AB371" s="431"/>
      <c r="AC371" s="431"/>
      <c r="AD371" s="431"/>
      <c r="AE371" s="431"/>
      <c r="AF371" s="431"/>
      <c r="AG371" s="431"/>
      <c r="AH371" s="431"/>
      <c r="AI371" s="431"/>
      <c r="AJ371" s="431"/>
      <c r="AK371" s="431"/>
      <c r="AL371" s="431"/>
      <c r="AM371" s="431"/>
      <c r="AN371" s="431"/>
      <c r="AO371" s="431"/>
      <c r="AP371" s="432" t="s">
        <v>2345</v>
      </c>
      <c r="AQ371" s="432"/>
      <c r="AR371" s="432" t="s">
        <v>2345</v>
      </c>
      <c r="AS371" s="432"/>
    </row>
    <row r="372" spans="1:45" ht="10.5" customHeight="1">
      <c r="A372" s="367"/>
      <c r="B372" s="429" t="s">
        <v>696</v>
      </c>
      <c r="C372" s="429"/>
      <c r="D372" s="429"/>
      <c r="E372" s="429"/>
      <c r="F372" s="429"/>
      <c r="G372" s="430" t="s">
        <v>697</v>
      </c>
      <c r="H372" s="430"/>
      <c r="I372" s="430"/>
      <c r="J372" s="430"/>
      <c r="K372" s="430"/>
      <c r="L372" s="430"/>
      <c r="M372" s="430"/>
      <c r="N372" s="430"/>
      <c r="O372" s="430"/>
      <c r="P372" s="430"/>
      <c r="Q372" s="430"/>
      <c r="R372" s="430"/>
      <c r="S372" s="430"/>
      <c r="T372" s="430"/>
      <c r="U372" s="431" t="s">
        <v>698</v>
      </c>
      <c r="V372" s="431"/>
      <c r="W372" s="431"/>
      <c r="X372" s="431"/>
      <c r="Y372" s="431"/>
      <c r="Z372" s="431"/>
      <c r="AA372" s="431"/>
      <c r="AB372" s="431"/>
      <c r="AC372" s="431"/>
      <c r="AD372" s="431"/>
      <c r="AE372" s="431"/>
      <c r="AF372" s="431"/>
      <c r="AG372" s="431"/>
      <c r="AH372" s="431"/>
      <c r="AI372" s="431"/>
      <c r="AJ372" s="431"/>
      <c r="AK372" s="431"/>
      <c r="AL372" s="431"/>
      <c r="AM372" s="431"/>
      <c r="AN372" s="431"/>
      <c r="AO372" s="431"/>
      <c r="AP372" s="432" t="s">
        <v>2345</v>
      </c>
      <c r="AQ372" s="432"/>
      <c r="AR372" s="432" t="s">
        <v>2345</v>
      </c>
      <c r="AS372" s="432"/>
    </row>
    <row r="373" spans="1:45" ht="10.5" customHeight="1">
      <c r="A373" s="367"/>
      <c r="B373" s="429" t="s">
        <v>699</v>
      </c>
      <c r="C373" s="429"/>
      <c r="D373" s="429"/>
      <c r="E373" s="429"/>
      <c r="F373" s="429"/>
      <c r="G373" s="430" t="s">
        <v>1762</v>
      </c>
      <c r="H373" s="430"/>
      <c r="I373" s="430"/>
      <c r="J373" s="430"/>
      <c r="K373" s="430"/>
      <c r="L373" s="430"/>
      <c r="M373" s="430"/>
      <c r="N373" s="430"/>
      <c r="O373" s="430"/>
      <c r="P373" s="430"/>
      <c r="Q373" s="430"/>
      <c r="R373" s="430"/>
      <c r="S373" s="430"/>
      <c r="T373" s="430"/>
      <c r="U373" s="431" t="s">
        <v>700</v>
      </c>
      <c r="V373" s="431"/>
      <c r="W373" s="431"/>
      <c r="X373" s="431"/>
      <c r="Y373" s="431"/>
      <c r="Z373" s="431" t="s">
        <v>1596</v>
      </c>
      <c r="AA373" s="431"/>
      <c r="AB373" s="431"/>
      <c r="AC373" s="431"/>
      <c r="AD373" s="431"/>
      <c r="AE373" s="431"/>
      <c r="AF373" s="431" t="s">
        <v>1596</v>
      </c>
      <c r="AG373" s="431"/>
      <c r="AH373" s="431"/>
      <c r="AI373" s="431"/>
      <c r="AJ373" s="431" t="s">
        <v>1597</v>
      </c>
      <c r="AK373" s="431"/>
      <c r="AL373" s="431"/>
      <c r="AM373" s="431"/>
      <c r="AN373" s="431"/>
      <c r="AO373" s="431"/>
      <c r="AP373" s="432" t="s">
        <v>2358</v>
      </c>
      <c r="AQ373" s="432"/>
      <c r="AR373" s="432" t="s">
        <v>2358</v>
      </c>
      <c r="AS373" s="432"/>
    </row>
    <row r="374" spans="1:45" ht="10.5" customHeight="1">
      <c r="A374" s="367"/>
      <c r="B374" s="429" t="s">
        <v>701</v>
      </c>
      <c r="C374" s="429"/>
      <c r="D374" s="429"/>
      <c r="E374" s="429"/>
      <c r="F374" s="429"/>
      <c r="G374" s="430" t="s">
        <v>702</v>
      </c>
      <c r="H374" s="430"/>
      <c r="I374" s="430"/>
      <c r="J374" s="430"/>
      <c r="K374" s="430"/>
      <c r="L374" s="430"/>
      <c r="M374" s="430"/>
      <c r="N374" s="430"/>
      <c r="O374" s="430"/>
      <c r="P374" s="430"/>
      <c r="Q374" s="430"/>
      <c r="R374" s="430"/>
      <c r="S374" s="430"/>
      <c r="T374" s="430"/>
      <c r="U374" s="431" t="s">
        <v>703</v>
      </c>
      <c r="V374" s="431"/>
      <c r="W374" s="431"/>
      <c r="X374" s="431"/>
      <c r="Y374" s="431"/>
      <c r="Z374" s="431"/>
      <c r="AA374" s="431"/>
      <c r="AB374" s="431"/>
      <c r="AC374" s="431"/>
      <c r="AD374" s="431"/>
      <c r="AE374" s="431"/>
      <c r="AF374" s="431"/>
      <c r="AG374" s="431"/>
      <c r="AH374" s="431"/>
      <c r="AI374" s="431"/>
      <c r="AJ374" s="431"/>
      <c r="AK374" s="431"/>
      <c r="AL374" s="431"/>
      <c r="AM374" s="431"/>
      <c r="AN374" s="431"/>
      <c r="AO374" s="431"/>
      <c r="AP374" s="432" t="s">
        <v>2345</v>
      </c>
      <c r="AQ374" s="432"/>
      <c r="AR374" s="432" t="s">
        <v>2345</v>
      </c>
      <c r="AS374" s="432"/>
    </row>
    <row r="375" spans="1:45" ht="10.5" customHeight="1">
      <c r="A375" s="367"/>
      <c r="B375" s="429" t="s">
        <v>704</v>
      </c>
      <c r="C375" s="429"/>
      <c r="D375" s="429"/>
      <c r="E375" s="429"/>
      <c r="F375" s="429"/>
      <c r="G375" s="430" t="s">
        <v>1779</v>
      </c>
      <c r="H375" s="430"/>
      <c r="I375" s="430"/>
      <c r="J375" s="430"/>
      <c r="K375" s="430"/>
      <c r="L375" s="430"/>
      <c r="M375" s="430"/>
      <c r="N375" s="430"/>
      <c r="O375" s="430"/>
      <c r="P375" s="430"/>
      <c r="Q375" s="430"/>
      <c r="R375" s="430"/>
      <c r="S375" s="430"/>
      <c r="T375" s="430"/>
      <c r="U375" s="431" t="s">
        <v>705</v>
      </c>
      <c r="V375" s="431"/>
      <c r="W375" s="431"/>
      <c r="X375" s="431"/>
      <c r="Y375" s="431"/>
      <c r="Z375" s="431"/>
      <c r="AA375" s="431"/>
      <c r="AB375" s="431"/>
      <c r="AC375" s="431"/>
      <c r="AD375" s="431"/>
      <c r="AE375" s="431"/>
      <c r="AF375" s="431" t="s">
        <v>1780</v>
      </c>
      <c r="AG375" s="431"/>
      <c r="AH375" s="431"/>
      <c r="AI375" s="431"/>
      <c r="AJ375" s="431" t="s">
        <v>1780</v>
      </c>
      <c r="AK375" s="431"/>
      <c r="AL375" s="431"/>
      <c r="AM375" s="431"/>
      <c r="AN375" s="431"/>
      <c r="AO375" s="431"/>
      <c r="AP375" s="432" t="s">
        <v>2345</v>
      </c>
      <c r="AQ375" s="432"/>
      <c r="AR375" s="432" t="s">
        <v>2353</v>
      </c>
      <c r="AS375" s="432"/>
    </row>
    <row r="376" spans="1:45" ht="10.5" customHeight="1">
      <c r="A376" s="367"/>
      <c r="B376" s="429" t="s">
        <v>706</v>
      </c>
      <c r="C376" s="429"/>
      <c r="D376" s="429"/>
      <c r="E376" s="429"/>
      <c r="F376" s="429"/>
      <c r="G376" s="430" t="s">
        <v>707</v>
      </c>
      <c r="H376" s="430"/>
      <c r="I376" s="430"/>
      <c r="J376" s="430"/>
      <c r="K376" s="430"/>
      <c r="L376" s="430"/>
      <c r="M376" s="430"/>
      <c r="N376" s="430"/>
      <c r="O376" s="430"/>
      <c r="P376" s="430"/>
      <c r="Q376" s="430"/>
      <c r="R376" s="430"/>
      <c r="S376" s="430"/>
      <c r="T376" s="430"/>
      <c r="U376" s="431" t="s">
        <v>708</v>
      </c>
      <c r="V376" s="431"/>
      <c r="W376" s="431"/>
      <c r="X376" s="431"/>
      <c r="Y376" s="431"/>
      <c r="Z376" s="431"/>
      <c r="AA376" s="431"/>
      <c r="AB376" s="431"/>
      <c r="AC376" s="431"/>
      <c r="AD376" s="431"/>
      <c r="AE376" s="431"/>
      <c r="AF376" s="431"/>
      <c r="AG376" s="431"/>
      <c r="AH376" s="431"/>
      <c r="AI376" s="431"/>
      <c r="AJ376" s="431"/>
      <c r="AK376" s="431"/>
      <c r="AL376" s="431"/>
      <c r="AM376" s="431"/>
      <c r="AN376" s="431"/>
      <c r="AO376" s="431"/>
      <c r="AP376" s="432" t="s">
        <v>2345</v>
      </c>
      <c r="AQ376" s="432"/>
      <c r="AR376" s="432" t="s">
        <v>2345</v>
      </c>
      <c r="AS376" s="432"/>
    </row>
    <row r="377" spans="1:45" ht="10.5" customHeight="1">
      <c r="A377" s="367"/>
      <c r="B377" s="429" t="s">
        <v>709</v>
      </c>
      <c r="C377" s="429"/>
      <c r="D377" s="429"/>
      <c r="E377" s="429"/>
      <c r="F377" s="429"/>
      <c r="G377" s="430" t="s">
        <v>710</v>
      </c>
      <c r="H377" s="430"/>
      <c r="I377" s="430"/>
      <c r="J377" s="430"/>
      <c r="K377" s="430"/>
      <c r="L377" s="430"/>
      <c r="M377" s="430"/>
      <c r="N377" s="430"/>
      <c r="O377" s="430"/>
      <c r="P377" s="430"/>
      <c r="Q377" s="430"/>
      <c r="R377" s="430"/>
      <c r="S377" s="430"/>
      <c r="T377" s="430"/>
      <c r="U377" s="431" t="s">
        <v>711</v>
      </c>
      <c r="V377" s="431"/>
      <c r="W377" s="431"/>
      <c r="X377" s="431"/>
      <c r="Y377" s="431"/>
      <c r="Z377" s="431"/>
      <c r="AA377" s="431"/>
      <c r="AB377" s="431"/>
      <c r="AC377" s="431"/>
      <c r="AD377" s="431"/>
      <c r="AE377" s="431"/>
      <c r="AF377" s="431"/>
      <c r="AG377" s="431"/>
      <c r="AH377" s="431"/>
      <c r="AI377" s="431"/>
      <c r="AJ377" s="431"/>
      <c r="AK377" s="431"/>
      <c r="AL377" s="431"/>
      <c r="AM377" s="431"/>
      <c r="AN377" s="431"/>
      <c r="AO377" s="431"/>
      <c r="AP377" s="432" t="s">
        <v>2345</v>
      </c>
      <c r="AQ377" s="432"/>
      <c r="AR377" s="432" t="s">
        <v>2345</v>
      </c>
      <c r="AS377" s="432"/>
    </row>
    <row r="378" spans="1:45" ht="10.5" customHeight="1" thickBot="1">
      <c r="A378" s="367"/>
      <c r="B378" s="429" t="s">
        <v>712</v>
      </c>
      <c r="C378" s="429"/>
      <c r="D378" s="429"/>
      <c r="E378" s="429"/>
      <c r="F378" s="429"/>
      <c r="G378" s="430" t="s">
        <v>713</v>
      </c>
      <c r="H378" s="430"/>
      <c r="I378" s="430"/>
      <c r="J378" s="430"/>
      <c r="K378" s="430"/>
      <c r="L378" s="430"/>
      <c r="M378" s="430"/>
      <c r="N378" s="430"/>
      <c r="O378" s="430"/>
      <c r="P378" s="430"/>
      <c r="Q378" s="430"/>
      <c r="R378" s="430"/>
      <c r="S378" s="430"/>
      <c r="T378" s="430"/>
      <c r="U378" s="431" t="s">
        <v>714</v>
      </c>
      <c r="V378" s="431"/>
      <c r="W378" s="431"/>
      <c r="X378" s="431"/>
      <c r="Y378" s="431"/>
      <c r="Z378" s="431"/>
      <c r="AA378" s="431"/>
      <c r="AB378" s="431"/>
      <c r="AC378" s="431"/>
      <c r="AD378" s="431"/>
      <c r="AE378" s="431"/>
      <c r="AF378" s="431"/>
      <c r="AG378" s="431"/>
      <c r="AH378" s="431"/>
      <c r="AI378" s="431"/>
      <c r="AJ378" s="431"/>
      <c r="AK378" s="431"/>
      <c r="AL378" s="431"/>
      <c r="AM378" s="431"/>
      <c r="AN378" s="431"/>
      <c r="AO378" s="431"/>
      <c r="AP378" s="432" t="s">
        <v>2345</v>
      </c>
      <c r="AQ378" s="432"/>
      <c r="AR378" s="432" t="s">
        <v>2345</v>
      </c>
      <c r="AS378" s="432"/>
    </row>
    <row r="379" spans="1:45" ht="10.5" customHeight="1">
      <c r="A379" s="350" t="s">
        <v>715</v>
      </c>
      <c r="B379" s="350"/>
      <c r="C379" s="350"/>
      <c r="D379" s="350"/>
      <c r="E379" s="350"/>
      <c r="F379" s="350"/>
      <c r="G379" s="350"/>
      <c r="H379" s="350"/>
      <c r="I379" s="350"/>
      <c r="J379" s="350"/>
      <c r="K379" s="350"/>
      <c r="L379" s="350"/>
      <c r="M379" s="350"/>
      <c r="N379" s="350"/>
      <c r="O379" s="350"/>
      <c r="P379" s="350"/>
      <c r="Q379" s="350"/>
      <c r="R379" s="351" t="s">
        <v>716</v>
      </c>
      <c r="S379" s="351"/>
      <c r="T379" s="351"/>
      <c r="U379" s="351"/>
      <c r="V379" s="351"/>
      <c r="W379" s="351"/>
      <c r="X379" s="351"/>
      <c r="Y379" s="351"/>
      <c r="Z379" s="351" t="s">
        <v>1575</v>
      </c>
      <c r="AA379" s="351"/>
      <c r="AB379" s="351"/>
      <c r="AC379" s="351"/>
      <c r="AD379" s="351"/>
      <c r="AE379" s="351"/>
      <c r="AF379" s="351" t="s">
        <v>1576</v>
      </c>
      <c r="AG379" s="351"/>
      <c r="AH379" s="351"/>
      <c r="AI379" s="351"/>
      <c r="AJ379" s="351" t="s">
        <v>2331</v>
      </c>
      <c r="AK379" s="351"/>
      <c r="AL379" s="351"/>
      <c r="AM379" s="351"/>
      <c r="AN379" s="351"/>
      <c r="AO379" s="351"/>
      <c r="AP379" s="351" t="s">
        <v>2332</v>
      </c>
      <c r="AQ379" s="351"/>
      <c r="AR379" s="351" t="s">
        <v>2333</v>
      </c>
      <c r="AS379" s="351"/>
    </row>
    <row r="380" spans="1:45" ht="9" customHeight="1" thickBot="1">
      <c r="A380" s="398" t="s">
        <v>2291</v>
      </c>
      <c r="B380" s="398"/>
      <c r="C380" s="398"/>
      <c r="D380" s="398"/>
      <c r="E380" s="398"/>
      <c r="F380" s="398"/>
      <c r="G380" s="398"/>
      <c r="H380" s="398"/>
      <c r="I380" s="398"/>
      <c r="J380" s="398"/>
      <c r="K380" s="398"/>
      <c r="L380" s="398"/>
      <c r="M380" s="398"/>
      <c r="N380" s="398"/>
      <c r="O380" s="398"/>
      <c r="P380" s="398"/>
      <c r="Q380" s="398"/>
      <c r="R380" s="399" t="s">
        <v>717</v>
      </c>
      <c r="S380" s="399"/>
      <c r="T380" s="399"/>
      <c r="U380" s="399"/>
      <c r="V380" s="399"/>
      <c r="W380" s="399"/>
      <c r="X380" s="399"/>
      <c r="Y380" s="399"/>
      <c r="Z380" s="399" t="s">
        <v>1774</v>
      </c>
      <c r="AA380" s="399"/>
      <c r="AB380" s="399"/>
      <c r="AC380" s="399"/>
      <c r="AD380" s="399"/>
      <c r="AE380" s="399"/>
      <c r="AF380" s="399" t="s">
        <v>1783</v>
      </c>
      <c r="AG380" s="399"/>
      <c r="AH380" s="399"/>
      <c r="AI380" s="399"/>
      <c r="AJ380" s="399" t="s">
        <v>718</v>
      </c>
      <c r="AK380" s="399"/>
      <c r="AL380" s="399"/>
      <c r="AM380" s="399"/>
      <c r="AN380" s="399"/>
      <c r="AO380" s="399"/>
      <c r="AP380" s="399"/>
      <c r="AQ380" s="399"/>
      <c r="AR380" s="399"/>
      <c r="AS380" s="399"/>
    </row>
    <row r="381" spans="1:45" ht="4.5" customHeight="1">
      <c r="A381" s="383"/>
      <c r="B381" s="383"/>
      <c r="C381" s="383"/>
      <c r="D381" s="383"/>
      <c r="E381" s="383"/>
      <c r="F381" s="383"/>
      <c r="G381" s="383"/>
      <c r="H381" s="383"/>
      <c r="I381" s="383"/>
      <c r="J381" s="383"/>
      <c r="K381" s="383"/>
      <c r="L381" s="383"/>
      <c r="M381" s="383"/>
      <c r="N381" s="383"/>
      <c r="O381" s="383"/>
      <c r="P381" s="383"/>
      <c r="Q381" s="383"/>
      <c r="R381" s="383"/>
      <c r="S381" s="383"/>
      <c r="T381" s="383"/>
      <c r="U381" s="383"/>
      <c r="V381" s="383"/>
      <c r="W381" s="383"/>
      <c r="X381" s="383"/>
      <c r="Y381" s="383"/>
      <c r="Z381" s="383"/>
      <c r="AA381" s="383"/>
      <c r="AB381" s="383"/>
      <c r="AC381" s="383"/>
      <c r="AD381" s="383"/>
      <c r="AE381" s="383"/>
      <c r="AF381" s="383"/>
      <c r="AG381" s="383"/>
      <c r="AH381" s="383"/>
      <c r="AI381" s="383"/>
      <c r="AJ381" s="383"/>
      <c r="AK381" s="383"/>
      <c r="AL381" s="383"/>
      <c r="AM381" s="383"/>
      <c r="AN381" s="383"/>
      <c r="AO381" s="383"/>
      <c r="AP381" s="383"/>
      <c r="AQ381" s="383"/>
      <c r="AR381" s="383"/>
      <c r="AS381" s="383"/>
    </row>
    <row r="382" spans="1:45" ht="10.5" customHeight="1">
      <c r="A382" s="367"/>
      <c r="B382" s="429" t="s">
        <v>719</v>
      </c>
      <c r="C382" s="429"/>
      <c r="D382" s="429"/>
      <c r="E382" s="429"/>
      <c r="F382" s="429"/>
      <c r="G382" s="430" t="s">
        <v>720</v>
      </c>
      <c r="H382" s="430"/>
      <c r="I382" s="430"/>
      <c r="J382" s="430"/>
      <c r="K382" s="430"/>
      <c r="L382" s="430"/>
      <c r="M382" s="430"/>
      <c r="N382" s="430"/>
      <c r="O382" s="430"/>
      <c r="P382" s="430"/>
      <c r="Q382" s="430"/>
      <c r="R382" s="430"/>
      <c r="S382" s="430"/>
      <c r="T382" s="430"/>
      <c r="U382" s="431" t="s">
        <v>721</v>
      </c>
      <c r="V382" s="431"/>
      <c r="W382" s="431"/>
      <c r="X382" s="431"/>
      <c r="Y382" s="431"/>
      <c r="Z382" s="431"/>
      <c r="AA382" s="431"/>
      <c r="AB382" s="431"/>
      <c r="AC382" s="431"/>
      <c r="AD382" s="431"/>
      <c r="AE382" s="431"/>
      <c r="AF382" s="431"/>
      <c r="AG382" s="431"/>
      <c r="AH382" s="431"/>
      <c r="AI382" s="431"/>
      <c r="AJ382" s="431"/>
      <c r="AK382" s="431"/>
      <c r="AL382" s="431"/>
      <c r="AM382" s="431"/>
      <c r="AN382" s="431"/>
      <c r="AO382" s="431"/>
      <c r="AP382" s="432" t="s">
        <v>2345</v>
      </c>
      <c r="AQ382" s="432"/>
      <c r="AR382" s="432" t="s">
        <v>2345</v>
      </c>
      <c r="AS382" s="432"/>
    </row>
    <row r="383" spans="1:45" ht="10.5" customHeight="1">
      <c r="A383" s="367"/>
      <c r="B383" s="429" t="s">
        <v>722</v>
      </c>
      <c r="C383" s="429"/>
      <c r="D383" s="429"/>
      <c r="E383" s="429"/>
      <c r="F383" s="429"/>
      <c r="G383" s="430" t="s">
        <v>723</v>
      </c>
      <c r="H383" s="430"/>
      <c r="I383" s="430"/>
      <c r="J383" s="430"/>
      <c r="K383" s="430"/>
      <c r="L383" s="430"/>
      <c r="M383" s="430"/>
      <c r="N383" s="430"/>
      <c r="O383" s="430"/>
      <c r="P383" s="430"/>
      <c r="Q383" s="430"/>
      <c r="R383" s="430"/>
      <c r="S383" s="430"/>
      <c r="T383" s="430"/>
      <c r="U383" s="431" t="s">
        <v>724</v>
      </c>
      <c r="V383" s="431"/>
      <c r="W383" s="431"/>
      <c r="X383" s="431"/>
      <c r="Y383" s="431"/>
      <c r="Z383" s="431"/>
      <c r="AA383" s="431"/>
      <c r="AB383" s="431"/>
      <c r="AC383" s="431"/>
      <c r="AD383" s="431"/>
      <c r="AE383" s="431"/>
      <c r="AF383" s="431"/>
      <c r="AG383" s="431"/>
      <c r="AH383" s="431"/>
      <c r="AI383" s="431"/>
      <c r="AJ383" s="431"/>
      <c r="AK383" s="431"/>
      <c r="AL383" s="431"/>
      <c r="AM383" s="431"/>
      <c r="AN383" s="431"/>
      <c r="AO383" s="431"/>
      <c r="AP383" s="432" t="s">
        <v>2345</v>
      </c>
      <c r="AQ383" s="432"/>
      <c r="AR383" s="432" t="s">
        <v>2345</v>
      </c>
      <c r="AS383" s="432"/>
    </row>
    <row r="384" spans="1:45" ht="10.5" customHeight="1">
      <c r="A384" s="367"/>
      <c r="B384" s="429" t="s">
        <v>725</v>
      </c>
      <c r="C384" s="429"/>
      <c r="D384" s="429"/>
      <c r="E384" s="429"/>
      <c r="F384" s="429"/>
      <c r="G384" s="430" t="s">
        <v>726</v>
      </c>
      <c r="H384" s="430"/>
      <c r="I384" s="430"/>
      <c r="J384" s="430"/>
      <c r="K384" s="430"/>
      <c r="L384" s="430"/>
      <c r="M384" s="430"/>
      <c r="N384" s="430"/>
      <c r="O384" s="430"/>
      <c r="P384" s="430"/>
      <c r="Q384" s="430"/>
      <c r="R384" s="430"/>
      <c r="S384" s="430"/>
      <c r="T384" s="430"/>
      <c r="U384" s="431" t="s">
        <v>727</v>
      </c>
      <c r="V384" s="431"/>
      <c r="W384" s="431"/>
      <c r="X384" s="431"/>
      <c r="Y384" s="431"/>
      <c r="Z384" s="431"/>
      <c r="AA384" s="431"/>
      <c r="AB384" s="431"/>
      <c r="AC384" s="431"/>
      <c r="AD384" s="431"/>
      <c r="AE384" s="431"/>
      <c r="AF384" s="431" t="s">
        <v>2430</v>
      </c>
      <c r="AG384" s="431"/>
      <c r="AH384" s="431"/>
      <c r="AI384" s="431"/>
      <c r="AJ384" s="431" t="s">
        <v>728</v>
      </c>
      <c r="AK384" s="431"/>
      <c r="AL384" s="431"/>
      <c r="AM384" s="431"/>
      <c r="AN384" s="431"/>
      <c r="AO384" s="431"/>
      <c r="AP384" s="432" t="s">
        <v>2345</v>
      </c>
      <c r="AQ384" s="432"/>
      <c r="AR384" s="432" t="s">
        <v>2415</v>
      </c>
      <c r="AS384" s="432"/>
    </row>
    <row r="385" spans="1:45" ht="10.5" customHeight="1" thickBot="1">
      <c r="A385" s="367"/>
      <c r="B385" s="433" t="s">
        <v>729</v>
      </c>
      <c r="C385" s="433"/>
      <c r="D385" s="433"/>
      <c r="E385" s="433"/>
      <c r="F385" s="433"/>
      <c r="G385" s="434" t="s">
        <v>730</v>
      </c>
      <c r="H385" s="434"/>
      <c r="I385" s="434"/>
      <c r="J385" s="434"/>
      <c r="K385" s="434"/>
      <c r="L385" s="434"/>
      <c r="M385" s="434"/>
      <c r="N385" s="434"/>
      <c r="O385" s="434"/>
      <c r="P385" s="434"/>
      <c r="Q385" s="434"/>
      <c r="R385" s="434"/>
      <c r="S385" s="434"/>
      <c r="T385" s="434"/>
      <c r="U385" s="435" t="s">
        <v>731</v>
      </c>
      <c r="V385" s="435"/>
      <c r="W385" s="435"/>
      <c r="X385" s="435"/>
      <c r="Y385" s="435"/>
      <c r="Z385" s="435"/>
      <c r="AA385" s="435"/>
      <c r="AB385" s="435"/>
      <c r="AC385" s="435"/>
      <c r="AD385" s="435"/>
      <c r="AE385" s="435"/>
      <c r="AF385" s="435"/>
      <c r="AG385" s="435"/>
      <c r="AH385" s="435"/>
      <c r="AI385" s="435"/>
      <c r="AJ385" s="435"/>
      <c r="AK385" s="435"/>
      <c r="AL385" s="435"/>
      <c r="AM385" s="435"/>
      <c r="AN385" s="435"/>
      <c r="AO385" s="435"/>
      <c r="AP385" s="436" t="s">
        <v>2345</v>
      </c>
      <c r="AQ385" s="436"/>
      <c r="AR385" s="436" t="s">
        <v>2345</v>
      </c>
      <c r="AS385" s="436"/>
    </row>
    <row r="386" spans="1:45" ht="13.5" thickBot="1">
      <c r="A386" s="437" t="s">
        <v>1598</v>
      </c>
      <c r="B386" s="437"/>
      <c r="C386" s="437"/>
      <c r="D386" s="437"/>
      <c r="E386" s="437"/>
      <c r="F386" s="437"/>
      <c r="G386" s="437"/>
      <c r="H386" s="437"/>
      <c r="I386" s="437"/>
      <c r="J386" s="437"/>
      <c r="K386" s="437"/>
      <c r="L386" s="437"/>
      <c r="M386" s="437"/>
      <c r="N386" s="437"/>
      <c r="O386" s="437"/>
      <c r="P386" s="437"/>
      <c r="Q386" s="437"/>
      <c r="R386" s="437"/>
      <c r="S386" s="437"/>
      <c r="T386" s="437"/>
      <c r="U386" s="369" t="s">
        <v>732</v>
      </c>
      <c r="V386" s="369"/>
      <c r="W386" s="369"/>
      <c r="X386" s="369"/>
      <c r="Y386" s="369"/>
      <c r="Z386" s="369" t="s">
        <v>1599</v>
      </c>
      <c r="AA386" s="369"/>
      <c r="AB386" s="369"/>
      <c r="AC386" s="369"/>
      <c r="AD386" s="369"/>
      <c r="AE386" s="369"/>
      <c r="AF386" s="369" t="s">
        <v>1600</v>
      </c>
      <c r="AG386" s="369"/>
      <c r="AH386" s="369"/>
      <c r="AI386" s="369"/>
      <c r="AJ386" s="369" t="s">
        <v>1601</v>
      </c>
      <c r="AK386" s="369"/>
      <c r="AL386" s="369"/>
      <c r="AM386" s="369"/>
      <c r="AN386" s="369"/>
      <c r="AO386" s="369"/>
      <c r="AP386" s="411" t="s">
        <v>733</v>
      </c>
      <c r="AQ386" s="411"/>
      <c r="AR386" s="411" t="s">
        <v>496</v>
      </c>
      <c r="AS386" s="411"/>
    </row>
    <row r="387" spans="1:45" ht="4.5" customHeight="1">
      <c r="A387" s="383"/>
      <c r="B387" s="383"/>
      <c r="C387" s="383"/>
      <c r="D387" s="383"/>
      <c r="E387" s="383"/>
      <c r="F387" s="383"/>
      <c r="G387" s="383"/>
      <c r="H387" s="383"/>
      <c r="I387" s="383"/>
      <c r="J387" s="383"/>
      <c r="K387" s="383"/>
      <c r="L387" s="383"/>
      <c r="M387" s="383"/>
      <c r="N387" s="383"/>
      <c r="O387" s="383"/>
      <c r="P387" s="383"/>
      <c r="Q387" s="383"/>
      <c r="R387" s="383"/>
      <c r="S387" s="383"/>
      <c r="T387" s="383"/>
      <c r="U387" s="383"/>
      <c r="V387" s="383"/>
      <c r="W387" s="383"/>
      <c r="X387" s="383"/>
      <c r="Y387" s="383"/>
      <c r="Z387" s="383"/>
      <c r="AA387" s="383"/>
      <c r="AB387" s="383"/>
      <c r="AC387" s="383"/>
      <c r="AD387" s="383"/>
      <c r="AE387" s="383"/>
      <c r="AF387" s="383"/>
      <c r="AG387" s="383"/>
      <c r="AH387" s="383"/>
      <c r="AI387" s="383"/>
      <c r="AJ387" s="383"/>
      <c r="AK387" s="383"/>
      <c r="AL387" s="383"/>
      <c r="AM387" s="383"/>
      <c r="AN387" s="383"/>
      <c r="AO387" s="383"/>
      <c r="AP387" s="383"/>
      <c r="AQ387" s="383"/>
      <c r="AR387" s="383"/>
      <c r="AS387" s="383"/>
    </row>
    <row r="388" spans="1:45" ht="12.75">
      <c r="A388" s="392"/>
      <c r="B388" s="392"/>
      <c r="C388" s="343" t="s">
        <v>734</v>
      </c>
      <c r="D388" s="343"/>
      <c r="E388" s="343"/>
      <c r="F388" s="343"/>
      <c r="G388" s="343" t="s">
        <v>735</v>
      </c>
      <c r="H388" s="343"/>
      <c r="I388" s="343"/>
      <c r="J388" s="343"/>
      <c r="K388" s="343"/>
      <c r="L388" s="343"/>
      <c r="M388" s="343"/>
      <c r="N388" s="343"/>
      <c r="O388" s="343"/>
      <c r="P388" s="343"/>
      <c r="Q388" s="343"/>
      <c r="R388" s="343"/>
      <c r="S388" s="343"/>
      <c r="T388" s="343"/>
      <c r="U388" s="352" t="s">
        <v>736</v>
      </c>
      <c r="V388" s="352"/>
      <c r="W388" s="352"/>
      <c r="X388" s="352"/>
      <c r="Y388" s="352"/>
      <c r="Z388" s="352" t="s">
        <v>1790</v>
      </c>
      <c r="AA388" s="352"/>
      <c r="AB388" s="352"/>
      <c r="AC388" s="352"/>
      <c r="AD388" s="352"/>
      <c r="AE388" s="352"/>
      <c r="AF388" s="352" t="s">
        <v>1791</v>
      </c>
      <c r="AG388" s="352"/>
      <c r="AH388" s="352"/>
      <c r="AI388" s="352"/>
      <c r="AJ388" s="352" t="s">
        <v>1792</v>
      </c>
      <c r="AK388" s="352"/>
      <c r="AL388" s="352"/>
      <c r="AM388" s="352"/>
      <c r="AN388" s="352"/>
      <c r="AO388" s="352"/>
      <c r="AP388" s="403" t="s">
        <v>737</v>
      </c>
      <c r="AQ388" s="403"/>
      <c r="AR388" s="403" t="s">
        <v>738</v>
      </c>
      <c r="AS388" s="403"/>
    </row>
    <row r="389" spans="1:45" ht="13.5" thickBot="1">
      <c r="A389" s="416"/>
      <c r="B389" s="416"/>
      <c r="C389" s="345" t="s">
        <v>739</v>
      </c>
      <c r="D389" s="345"/>
      <c r="E389" s="345"/>
      <c r="F389" s="345"/>
      <c r="G389" s="345" t="s">
        <v>740</v>
      </c>
      <c r="H389" s="345"/>
      <c r="I389" s="345"/>
      <c r="J389" s="345"/>
      <c r="K389" s="345"/>
      <c r="L389" s="345"/>
      <c r="M389" s="345"/>
      <c r="N389" s="345"/>
      <c r="O389" s="345"/>
      <c r="P389" s="345"/>
      <c r="Q389" s="345"/>
      <c r="R389" s="345"/>
      <c r="S389" s="345"/>
      <c r="T389" s="345"/>
      <c r="U389" s="353" t="s">
        <v>741</v>
      </c>
      <c r="V389" s="353"/>
      <c r="W389" s="353"/>
      <c r="X389" s="353"/>
      <c r="Y389" s="353"/>
      <c r="Z389" s="353" t="s">
        <v>1794</v>
      </c>
      <c r="AA389" s="353"/>
      <c r="AB389" s="353"/>
      <c r="AC389" s="353"/>
      <c r="AD389" s="353"/>
      <c r="AE389" s="353"/>
      <c r="AF389" s="353" t="s">
        <v>1795</v>
      </c>
      <c r="AG389" s="353"/>
      <c r="AH389" s="353"/>
      <c r="AI389" s="353"/>
      <c r="AJ389" s="353" t="s">
        <v>1796</v>
      </c>
      <c r="AK389" s="353"/>
      <c r="AL389" s="353"/>
      <c r="AM389" s="353"/>
      <c r="AN389" s="353"/>
      <c r="AO389" s="353"/>
      <c r="AP389" s="418" t="s">
        <v>742</v>
      </c>
      <c r="AQ389" s="418"/>
      <c r="AR389" s="418" t="s">
        <v>743</v>
      </c>
      <c r="AS389" s="418"/>
    </row>
    <row r="390" spans="1:45" ht="13.5" thickBot="1">
      <c r="A390" s="356" t="s">
        <v>1797</v>
      </c>
      <c r="B390" s="356"/>
      <c r="C390" s="356"/>
      <c r="D390" s="356"/>
      <c r="E390" s="356"/>
      <c r="F390" s="356"/>
      <c r="G390" s="356"/>
      <c r="H390" s="356"/>
      <c r="I390" s="356"/>
      <c r="J390" s="356"/>
      <c r="K390" s="356"/>
      <c r="L390" s="356"/>
      <c r="M390" s="356"/>
      <c r="N390" s="356"/>
      <c r="O390" s="356"/>
      <c r="P390" s="356"/>
      <c r="Q390" s="356"/>
      <c r="R390" s="356"/>
      <c r="S390" s="356"/>
      <c r="T390" s="356"/>
      <c r="U390" s="369" t="s">
        <v>744</v>
      </c>
      <c r="V390" s="369"/>
      <c r="W390" s="369"/>
      <c r="X390" s="369"/>
      <c r="Y390" s="369"/>
      <c r="Z390" s="357" t="s">
        <v>1592</v>
      </c>
      <c r="AA390" s="357"/>
      <c r="AB390" s="357"/>
      <c r="AC390" s="357"/>
      <c r="AD390" s="357"/>
      <c r="AE390" s="357"/>
      <c r="AF390" s="357" t="s">
        <v>1798</v>
      </c>
      <c r="AG390" s="357"/>
      <c r="AH390" s="357"/>
      <c r="AI390" s="357"/>
      <c r="AJ390" s="357" t="s">
        <v>1799</v>
      </c>
      <c r="AK390" s="357"/>
      <c r="AL390" s="357"/>
      <c r="AM390" s="357"/>
      <c r="AN390" s="357"/>
      <c r="AO390" s="357"/>
      <c r="AP390" s="420" t="s">
        <v>637</v>
      </c>
      <c r="AQ390" s="420"/>
      <c r="AR390" s="420" t="s">
        <v>638</v>
      </c>
      <c r="AS390" s="420"/>
    </row>
    <row r="391" spans="1:45" ht="13.5" thickBot="1">
      <c r="A391" s="421" t="s">
        <v>745</v>
      </c>
      <c r="B391" s="421"/>
      <c r="C391" s="421"/>
      <c r="D391" s="421"/>
      <c r="E391" s="421"/>
      <c r="F391" s="421"/>
      <c r="G391" s="421"/>
      <c r="H391" s="421"/>
      <c r="I391" s="421"/>
      <c r="J391" s="421"/>
      <c r="K391" s="421"/>
      <c r="L391" s="421"/>
      <c r="M391" s="421"/>
      <c r="N391" s="421"/>
      <c r="O391" s="421"/>
      <c r="P391" s="421"/>
      <c r="Q391" s="421"/>
      <c r="R391" s="421"/>
      <c r="S391" s="421"/>
      <c r="T391" s="421"/>
      <c r="U391" s="422" t="s">
        <v>746</v>
      </c>
      <c r="V391" s="422"/>
      <c r="W391" s="422"/>
      <c r="X391" s="422"/>
      <c r="Y391" s="422"/>
      <c r="Z391" s="423" t="s">
        <v>1596</v>
      </c>
      <c r="AA391" s="423"/>
      <c r="AB391" s="423"/>
      <c r="AC391" s="423"/>
      <c r="AD391" s="423"/>
      <c r="AE391" s="423"/>
      <c r="AF391" s="423" t="s">
        <v>1596</v>
      </c>
      <c r="AG391" s="423"/>
      <c r="AH391" s="423"/>
      <c r="AI391" s="423"/>
      <c r="AJ391" s="423" t="s">
        <v>1597</v>
      </c>
      <c r="AK391" s="423"/>
      <c r="AL391" s="423"/>
      <c r="AM391" s="423"/>
      <c r="AN391" s="423"/>
      <c r="AO391" s="423"/>
      <c r="AP391" s="424" t="s">
        <v>2358</v>
      </c>
      <c r="AQ391" s="424"/>
      <c r="AR391" s="424" t="s">
        <v>2358</v>
      </c>
      <c r="AS391" s="424"/>
    </row>
    <row r="392" spans="1:45" ht="12.75">
      <c r="A392" s="412"/>
      <c r="B392" s="412"/>
      <c r="C392" s="354" t="s">
        <v>664</v>
      </c>
      <c r="D392" s="354"/>
      <c r="E392" s="354"/>
      <c r="F392" s="354"/>
      <c r="G392" s="354"/>
      <c r="H392" s="354"/>
      <c r="I392" s="354"/>
      <c r="J392" s="354"/>
      <c r="K392" s="354"/>
      <c r="L392" s="354"/>
      <c r="M392" s="354"/>
      <c r="N392" s="354"/>
      <c r="O392" s="354"/>
      <c r="P392" s="354"/>
      <c r="Q392" s="354"/>
      <c r="R392" s="354"/>
      <c r="S392" s="354"/>
      <c r="T392" s="354"/>
      <c r="U392" s="354"/>
      <c r="V392" s="354"/>
      <c r="W392" s="354"/>
      <c r="X392" s="354"/>
      <c r="Y392" s="354"/>
      <c r="Z392" s="354"/>
      <c r="AA392" s="354"/>
      <c r="AB392" s="354"/>
      <c r="AC392" s="354"/>
      <c r="AD392" s="354"/>
      <c r="AE392" s="354"/>
      <c r="AF392" s="354"/>
      <c r="AG392" s="354"/>
      <c r="AH392" s="354"/>
      <c r="AI392" s="354"/>
      <c r="AJ392" s="354"/>
      <c r="AK392" s="354"/>
      <c r="AL392" s="354"/>
      <c r="AM392" s="354"/>
      <c r="AN392" s="354"/>
      <c r="AO392" s="354"/>
      <c r="AP392" s="354"/>
      <c r="AQ392" s="354"/>
      <c r="AR392" s="354"/>
      <c r="AS392" s="354"/>
    </row>
    <row r="393" spans="1:45" ht="10.5" customHeight="1">
      <c r="A393" s="367"/>
      <c r="B393" s="425" t="s">
        <v>747</v>
      </c>
      <c r="C393" s="425"/>
      <c r="D393" s="425"/>
      <c r="E393" s="425"/>
      <c r="F393" s="425"/>
      <c r="G393" s="426" t="s">
        <v>748</v>
      </c>
      <c r="H393" s="426"/>
      <c r="I393" s="426"/>
      <c r="J393" s="426"/>
      <c r="K393" s="426"/>
      <c r="L393" s="426"/>
      <c r="M393" s="426"/>
      <c r="N393" s="426"/>
      <c r="O393" s="426"/>
      <c r="P393" s="426"/>
      <c r="Q393" s="426"/>
      <c r="R393" s="426"/>
      <c r="S393" s="426"/>
      <c r="T393" s="426"/>
      <c r="U393" s="427" t="s">
        <v>749</v>
      </c>
      <c r="V393" s="427"/>
      <c r="W393" s="427"/>
      <c r="X393" s="427"/>
      <c r="Y393" s="427"/>
      <c r="Z393" s="427"/>
      <c r="AA393" s="427"/>
      <c r="AB393" s="427"/>
      <c r="AC393" s="427"/>
      <c r="AD393" s="427"/>
      <c r="AE393" s="427"/>
      <c r="AF393" s="427"/>
      <c r="AG393" s="427"/>
      <c r="AH393" s="427"/>
      <c r="AI393" s="427"/>
      <c r="AJ393" s="427"/>
      <c r="AK393" s="427"/>
      <c r="AL393" s="427"/>
      <c r="AM393" s="427"/>
      <c r="AN393" s="427"/>
      <c r="AO393" s="427"/>
      <c r="AP393" s="428" t="s">
        <v>2345</v>
      </c>
      <c r="AQ393" s="428"/>
      <c r="AR393" s="428" t="s">
        <v>2345</v>
      </c>
      <c r="AS393" s="428"/>
    </row>
    <row r="394" spans="1:45" ht="10.5" customHeight="1">
      <c r="A394" s="367"/>
      <c r="B394" s="429" t="s">
        <v>750</v>
      </c>
      <c r="C394" s="429"/>
      <c r="D394" s="429"/>
      <c r="E394" s="429"/>
      <c r="F394" s="429"/>
      <c r="G394" s="430" t="s">
        <v>751</v>
      </c>
      <c r="H394" s="430"/>
      <c r="I394" s="430"/>
      <c r="J394" s="430"/>
      <c r="K394" s="430"/>
      <c r="L394" s="430"/>
      <c r="M394" s="430"/>
      <c r="N394" s="430"/>
      <c r="O394" s="430"/>
      <c r="P394" s="430"/>
      <c r="Q394" s="430"/>
      <c r="R394" s="430"/>
      <c r="S394" s="430"/>
      <c r="T394" s="430"/>
      <c r="U394" s="431" t="s">
        <v>752</v>
      </c>
      <c r="V394" s="431"/>
      <c r="W394" s="431"/>
      <c r="X394" s="431"/>
      <c r="Y394" s="431"/>
      <c r="Z394" s="431"/>
      <c r="AA394" s="431"/>
      <c r="AB394" s="431"/>
      <c r="AC394" s="431"/>
      <c r="AD394" s="431"/>
      <c r="AE394" s="431"/>
      <c r="AF394" s="431"/>
      <c r="AG394" s="431"/>
      <c r="AH394" s="431"/>
      <c r="AI394" s="431"/>
      <c r="AJ394" s="431"/>
      <c r="AK394" s="431"/>
      <c r="AL394" s="431"/>
      <c r="AM394" s="431"/>
      <c r="AN394" s="431"/>
      <c r="AO394" s="431"/>
      <c r="AP394" s="432" t="s">
        <v>2345</v>
      </c>
      <c r="AQ394" s="432"/>
      <c r="AR394" s="432" t="s">
        <v>2345</v>
      </c>
      <c r="AS394" s="432"/>
    </row>
    <row r="395" spans="1:45" ht="10.5" customHeight="1">
      <c r="A395" s="367"/>
      <c r="B395" s="429" t="s">
        <v>753</v>
      </c>
      <c r="C395" s="429"/>
      <c r="D395" s="429"/>
      <c r="E395" s="429"/>
      <c r="F395" s="429"/>
      <c r="G395" s="430" t="s">
        <v>754</v>
      </c>
      <c r="H395" s="430"/>
      <c r="I395" s="430"/>
      <c r="J395" s="430"/>
      <c r="K395" s="430"/>
      <c r="L395" s="430"/>
      <c r="M395" s="430"/>
      <c r="N395" s="430"/>
      <c r="O395" s="430"/>
      <c r="P395" s="430"/>
      <c r="Q395" s="430"/>
      <c r="R395" s="430"/>
      <c r="S395" s="430"/>
      <c r="T395" s="430"/>
      <c r="U395" s="431" t="s">
        <v>755</v>
      </c>
      <c r="V395" s="431"/>
      <c r="W395" s="431"/>
      <c r="X395" s="431"/>
      <c r="Y395" s="431"/>
      <c r="Z395" s="431"/>
      <c r="AA395" s="431"/>
      <c r="AB395" s="431"/>
      <c r="AC395" s="431"/>
      <c r="AD395" s="431"/>
      <c r="AE395" s="431"/>
      <c r="AF395" s="431"/>
      <c r="AG395" s="431"/>
      <c r="AH395" s="431"/>
      <c r="AI395" s="431"/>
      <c r="AJ395" s="431"/>
      <c r="AK395" s="431"/>
      <c r="AL395" s="431"/>
      <c r="AM395" s="431"/>
      <c r="AN395" s="431"/>
      <c r="AO395" s="431"/>
      <c r="AP395" s="432" t="s">
        <v>2345</v>
      </c>
      <c r="AQ395" s="432"/>
      <c r="AR395" s="432" t="s">
        <v>2345</v>
      </c>
      <c r="AS395" s="432"/>
    </row>
    <row r="396" spans="1:45" ht="10.5" customHeight="1">
      <c r="A396" s="367"/>
      <c r="B396" s="429" t="s">
        <v>756</v>
      </c>
      <c r="C396" s="429"/>
      <c r="D396" s="429"/>
      <c r="E396" s="429"/>
      <c r="F396" s="429"/>
      <c r="G396" s="430" t="s">
        <v>757</v>
      </c>
      <c r="H396" s="430"/>
      <c r="I396" s="430"/>
      <c r="J396" s="430"/>
      <c r="K396" s="430"/>
      <c r="L396" s="430"/>
      <c r="M396" s="430"/>
      <c r="N396" s="430"/>
      <c r="O396" s="430"/>
      <c r="P396" s="430"/>
      <c r="Q396" s="430"/>
      <c r="R396" s="430"/>
      <c r="S396" s="430"/>
      <c r="T396" s="430"/>
      <c r="U396" s="431" t="s">
        <v>758</v>
      </c>
      <c r="V396" s="431"/>
      <c r="W396" s="431"/>
      <c r="X396" s="431"/>
      <c r="Y396" s="431"/>
      <c r="Z396" s="431"/>
      <c r="AA396" s="431"/>
      <c r="AB396" s="431"/>
      <c r="AC396" s="431"/>
      <c r="AD396" s="431"/>
      <c r="AE396" s="431"/>
      <c r="AF396" s="431"/>
      <c r="AG396" s="431"/>
      <c r="AH396" s="431"/>
      <c r="AI396" s="431"/>
      <c r="AJ396" s="431"/>
      <c r="AK396" s="431"/>
      <c r="AL396" s="431"/>
      <c r="AM396" s="431"/>
      <c r="AN396" s="431"/>
      <c r="AO396" s="431"/>
      <c r="AP396" s="432" t="s">
        <v>2345</v>
      </c>
      <c r="AQ396" s="432"/>
      <c r="AR396" s="432" t="s">
        <v>2345</v>
      </c>
      <c r="AS396" s="432"/>
    </row>
    <row r="397" spans="1:45" ht="10.5" customHeight="1">
      <c r="A397" s="367"/>
      <c r="B397" s="429" t="s">
        <v>759</v>
      </c>
      <c r="C397" s="429"/>
      <c r="D397" s="429"/>
      <c r="E397" s="429"/>
      <c r="F397" s="429"/>
      <c r="G397" s="430" t="s">
        <v>633</v>
      </c>
      <c r="H397" s="430"/>
      <c r="I397" s="430"/>
      <c r="J397" s="430"/>
      <c r="K397" s="430"/>
      <c r="L397" s="430"/>
      <c r="M397" s="430"/>
      <c r="N397" s="430"/>
      <c r="O397" s="430"/>
      <c r="P397" s="430"/>
      <c r="Q397" s="430"/>
      <c r="R397" s="430"/>
      <c r="S397" s="430"/>
      <c r="T397" s="430"/>
      <c r="U397" s="431" t="s">
        <v>760</v>
      </c>
      <c r="V397" s="431"/>
      <c r="W397" s="431"/>
      <c r="X397" s="431"/>
      <c r="Y397" s="431"/>
      <c r="Z397" s="431"/>
      <c r="AA397" s="431"/>
      <c r="AB397" s="431"/>
      <c r="AC397" s="431"/>
      <c r="AD397" s="431"/>
      <c r="AE397" s="431"/>
      <c r="AF397" s="431"/>
      <c r="AG397" s="431"/>
      <c r="AH397" s="431"/>
      <c r="AI397" s="431"/>
      <c r="AJ397" s="431" t="s">
        <v>2007</v>
      </c>
      <c r="AK397" s="431"/>
      <c r="AL397" s="431"/>
      <c r="AM397" s="431"/>
      <c r="AN397" s="431"/>
      <c r="AO397" s="431"/>
      <c r="AP397" s="432" t="s">
        <v>2345</v>
      </c>
      <c r="AQ397" s="432"/>
      <c r="AR397" s="432" t="s">
        <v>2345</v>
      </c>
      <c r="AS397" s="432"/>
    </row>
    <row r="398" spans="1:45" ht="10.5" customHeight="1">
      <c r="A398" s="367"/>
      <c r="B398" s="429" t="s">
        <v>761</v>
      </c>
      <c r="C398" s="429"/>
      <c r="D398" s="429"/>
      <c r="E398" s="429"/>
      <c r="F398" s="429"/>
      <c r="G398" s="430" t="s">
        <v>762</v>
      </c>
      <c r="H398" s="430"/>
      <c r="I398" s="430"/>
      <c r="J398" s="430"/>
      <c r="K398" s="430"/>
      <c r="L398" s="430"/>
      <c r="M398" s="430"/>
      <c r="N398" s="430"/>
      <c r="O398" s="430"/>
      <c r="P398" s="430"/>
      <c r="Q398" s="430"/>
      <c r="R398" s="430"/>
      <c r="S398" s="430"/>
      <c r="T398" s="430"/>
      <c r="U398" s="431" t="s">
        <v>763</v>
      </c>
      <c r="V398" s="431"/>
      <c r="W398" s="431"/>
      <c r="X398" s="431"/>
      <c r="Y398" s="431"/>
      <c r="Z398" s="431"/>
      <c r="AA398" s="431"/>
      <c r="AB398" s="431"/>
      <c r="AC398" s="431"/>
      <c r="AD398" s="431"/>
      <c r="AE398" s="431"/>
      <c r="AF398" s="431"/>
      <c r="AG398" s="431"/>
      <c r="AH398" s="431"/>
      <c r="AI398" s="431"/>
      <c r="AJ398" s="431"/>
      <c r="AK398" s="431"/>
      <c r="AL398" s="431"/>
      <c r="AM398" s="431"/>
      <c r="AN398" s="431"/>
      <c r="AO398" s="431"/>
      <c r="AP398" s="432" t="s">
        <v>2345</v>
      </c>
      <c r="AQ398" s="432"/>
      <c r="AR398" s="432" t="s">
        <v>2345</v>
      </c>
      <c r="AS398" s="432"/>
    </row>
    <row r="399" spans="1:45" ht="10.5" customHeight="1">
      <c r="A399" s="367"/>
      <c r="B399" s="429" t="s">
        <v>764</v>
      </c>
      <c r="C399" s="429"/>
      <c r="D399" s="429"/>
      <c r="E399" s="429"/>
      <c r="F399" s="429"/>
      <c r="G399" s="430" t="s">
        <v>2009</v>
      </c>
      <c r="H399" s="430"/>
      <c r="I399" s="430"/>
      <c r="J399" s="430"/>
      <c r="K399" s="430"/>
      <c r="L399" s="430"/>
      <c r="M399" s="430"/>
      <c r="N399" s="430"/>
      <c r="O399" s="430"/>
      <c r="P399" s="430"/>
      <c r="Q399" s="430"/>
      <c r="R399" s="430"/>
      <c r="S399" s="430"/>
      <c r="T399" s="430"/>
      <c r="U399" s="431" t="s">
        <v>765</v>
      </c>
      <c r="V399" s="431"/>
      <c r="W399" s="431"/>
      <c r="X399" s="431"/>
      <c r="Y399" s="431"/>
      <c r="Z399" s="431" t="s">
        <v>1596</v>
      </c>
      <c r="AA399" s="431"/>
      <c r="AB399" s="431"/>
      <c r="AC399" s="431"/>
      <c r="AD399" s="431"/>
      <c r="AE399" s="431"/>
      <c r="AF399" s="431" t="s">
        <v>1596</v>
      </c>
      <c r="AG399" s="431"/>
      <c r="AH399" s="431"/>
      <c r="AI399" s="431"/>
      <c r="AJ399" s="431" t="s">
        <v>2010</v>
      </c>
      <c r="AK399" s="431"/>
      <c r="AL399" s="431"/>
      <c r="AM399" s="431"/>
      <c r="AN399" s="431"/>
      <c r="AO399" s="431"/>
      <c r="AP399" s="432" t="s">
        <v>634</v>
      </c>
      <c r="AQ399" s="432"/>
      <c r="AR399" s="432" t="s">
        <v>634</v>
      </c>
      <c r="AS399" s="432"/>
    </row>
    <row r="400" spans="1:45" ht="10.5" customHeight="1">
      <c r="A400" s="367"/>
      <c r="B400" s="429" t="s">
        <v>766</v>
      </c>
      <c r="C400" s="429"/>
      <c r="D400" s="429"/>
      <c r="E400" s="429"/>
      <c r="F400" s="429"/>
      <c r="G400" s="430" t="s">
        <v>767</v>
      </c>
      <c r="H400" s="430"/>
      <c r="I400" s="430"/>
      <c r="J400" s="430"/>
      <c r="K400" s="430"/>
      <c r="L400" s="430"/>
      <c r="M400" s="430"/>
      <c r="N400" s="430"/>
      <c r="O400" s="430"/>
      <c r="P400" s="430"/>
      <c r="Q400" s="430"/>
      <c r="R400" s="430"/>
      <c r="S400" s="430"/>
      <c r="T400" s="430"/>
      <c r="U400" s="431" t="s">
        <v>768</v>
      </c>
      <c r="V400" s="431"/>
      <c r="W400" s="431"/>
      <c r="X400" s="431"/>
      <c r="Y400" s="431"/>
      <c r="Z400" s="431"/>
      <c r="AA400" s="431"/>
      <c r="AB400" s="431"/>
      <c r="AC400" s="431"/>
      <c r="AD400" s="431"/>
      <c r="AE400" s="431"/>
      <c r="AF400" s="431"/>
      <c r="AG400" s="431"/>
      <c r="AH400" s="431"/>
      <c r="AI400" s="431"/>
      <c r="AJ400" s="431"/>
      <c r="AK400" s="431"/>
      <c r="AL400" s="431"/>
      <c r="AM400" s="431"/>
      <c r="AN400" s="431"/>
      <c r="AO400" s="431"/>
      <c r="AP400" s="432" t="s">
        <v>2345</v>
      </c>
      <c r="AQ400" s="432"/>
      <c r="AR400" s="432" t="s">
        <v>2345</v>
      </c>
      <c r="AS400" s="432"/>
    </row>
    <row r="401" spans="1:45" ht="22.5" customHeight="1">
      <c r="A401" s="367"/>
      <c r="B401" s="429" t="s">
        <v>769</v>
      </c>
      <c r="C401" s="429"/>
      <c r="D401" s="429"/>
      <c r="E401" s="429"/>
      <c r="F401" s="429"/>
      <c r="G401" s="430" t="s">
        <v>770</v>
      </c>
      <c r="H401" s="430"/>
      <c r="I401" s="430"/>
      <c r="J401" s="430"/>
      <c r="K401" s="430"/>
      <c r="L401" s="430"/>
      <c r="M401" s="430"/>
      <c r="N401" s="430"/>
      <c r="O401" s="430"/>
      <c r="P401" s="430"/>
      <c r="Q401" s="430"/>
      <c r="R401" s="430"/>
      <c r="S401" s="430"/>
      <c r="T401" s="430"/>
      <c r="U401" s="431" t="s">
        <v>771</v>
      </c>
      <c r="V401" s="431"/>
      <c r="W401" s="431"/>
      <c r="X401" s="431"/>
      <c r="Y401" s="431"/>
      <c r="Z401" s="431"/>
      <c r="AA401" s="431"/>
      <c r="AB401" s="431"/>
      <c r="AC401" s="431"/>
      <c r="AD401" s="431"/>
      <c r="AE401" s="431"/>
      <c r="AF401" s="431"/>
      <c r="AG401" s="431"/>
      <c r="AH401" s="431"/>
      <c r="AI401" s="431"/>
      <c r="AJ401" s="431"/>
      <c r="AK401" s="431"/>
      <c r="AL401" s="431"/>
      <c r="AM401" s="431"/>
      <c r="AN401" s="431"/>
      <c r="AO401" s="431"/>
      <c r="AP401" s="432" t="s">
        <v>2345</v>
      </c>
      <c r="AQ401" s="432"/>
      <c r="AR401" s="432" t="s">
        <v>2345</v>
      </c>
      <c r="AS401" s="432"/>
    </row>
    <row r="402" spans="1:45" ht="10.5" customHeight="1">
      <c r="A402" s="367"/>
      <c r="B402" s="429" t="s">
        <v>772</v>
      </c>
      <c r="C402" s="429"/>
      <c r="D402" s="429"/>
      <c r="E402" s="429"/>
      <c r="F402" s="429"/>
      <c r="G402" s="430" t="s">
        <v>773</v>
      </c>
      <c r="H402" s="430"/>
      <c r="I402" s="430"/>
      <c r="J402" s="430"/>
      <c r="K402" s="430"/>
      <c r="L402" s="430"/>
      <c r="M402" s="430"/>
      <c r="N402" s="430"/>
      <c r="O402" s="430"/>
      <c r="P402" s="430"/>
      <c r="Q402" s="430"/>
      <c r="R402" s="430"/>
      <c r="S402" s="430"/>
      <c r="T402" s="430"/>
      <c r="U402" s="431" t="s">
        <v>774</v>
      </c>
      <c r="V402" s="431"/>
      <c r="W402" s="431"/>
      <c r="X402" s="431"/>
      <c r="Y402" s="431"/>
      <c r="Z402" s="431"/>
      <c r="AA402" s="431"/>
      <c r="AB402" s="431"/>
      <c r="AC402" s="431"/>
      <c r="AD402" s="431"/>
      <c r="AE402" s="431"/>
      <c r="AF402" s="431"/>
      <c r="AG402" s="431"/>
      <c r="AH402" s="431"/>
      <c r="AI402" s="431"/>
      <c r="AJ402" s="431"/>
      <c r="AK402" s="431"/>
      <c r="AL402" s="431"/>
      <c r="AM402" s="431"/>
      <c r="AN402" s="431"/>
      <c r="AO402" s="431"/>
      <c r="AP402" s="432" t="s">
        <v>2345</v>
      </c>
      <c r="AQ402" s="432"/>
      <c r="AR402" s="432" t="s">
        <v>2345</v>
      </c>
      <c r="AS402" s="432"/>
    </row>
    <row r="403" spans="1:45" ht="22.5" customHeight="1">
      <c r="A403" s="367"/>
      <c r="B403" s="429" t="s">
        <v>775</v>
      </c>
      <c r="C403" s="429"/>
      <c r="D403" s="429"/>
      <c r="E403" s="429"/>
      <c r="F403" s="429"/>
      <c r="G403" s="430" t="s">
        <v>776</v>
      </c>
      <c r="H403" s="430"/>
      <c r="I403" s="430"/>
      <c r="J403" s="430"/>
      <c r="K403" s="430"/>
      <c r="L403" s="430"/>
      <c r="M403" s="430"/>
      <c r="N403" s="430"/>
      <c r="O403" s="430"/>
      <c r="P403" s="430"/>
      <c r="Q403" s="430"/>
      <c r="R403" s="430"/>
      <c r="S403" s="430"/>
      <c r="T403" s="430"/>
      <c r="U403" s="431" t="s">
        <v>777</v>
      </c>
      <c r="V403" s="431"/>
      <c r="W403" s="431"/>
      <c r="X403" s="431"/>
      <c r="Y403" s="431"/>
      <c r="Z403" s="431"/>
      <c r="AA403" s="431"/>
      <c r="AB403" s="431"/>
      <c r="AC403" s="431"/>
      <c r="AD403" s="431"/>
      <c r="AE403" s="431"/>
      <c r="AF403" s="431"/>
      <c r="AG403" s="431"/>
      <c r="AH403" s="431"/>
      <c r="AI403" s="431"/>
      <c r="AJ403" s="431"/>
      <c r="AK403" s="431"/>
      <c r="AL403" s="431"/>
      <c r="AM403" s="431"/>
      <c r="AN403" s="431"/>
      <c r="AO403" s="431"/>
      <c r="AP403" s="432" t="s">
        <v>2345</v>
      </c>
      <c r="AQ403" s="432"/>
      <c r="AR403" s="432" t="s">
        <v>2345</v>
      </c>
      <c r="AS403" s="432"/>
    </row>
    <row r="404" spans="1:45" ht="10.5" customHeight="1">
      <c r="A404" s="367"/>
      <c r="B404" s="429" t="s">
        <v>778</v>
      </c>
      <c r="C404" s="429"/>
      <c r="D404" s="429"/>
      <c r="E404" s="429"/>
      <c r="F404" s="429"/>
      <c r="G404" s="430" t="s">
        <v>779</v>
      </c>
      <c r="H404" s="430"/>
      <c r="I404" s="430"/>
      <c r="J404" s="430"/>
      <c r="K404" s="430"/>
      <c r="L404" s="430"/>
      <c r="M404" s="430"/>
      <c r="N404" s="430"/>
      <c r="O404" s="430"/>
      <c r="P404" s="430"/>
      <c r="Q404" s="430"/>
      <c r="R404" s="430"/>
      <c r="S404" s="430"/>
      <c r="T404" s="430"/>
      <c r="U404" s="431" t="s">
        <v>780</v>
      </c>
      <c r="V404" s="431"/>
      <c r="W404" s="431"/>
      <c r="X404" s="431"/>
      <c r="Y404" s="431"/>
      <c r="Z404" s="431"/>
      <c r="AA404" s="431"/>
      <c r="AB404" s="431"/>
      <c r="AC404" s="431"/>
      <c r="AD404" s="431"/>
      <c r="AE404" s="431"/>
      <c r="AF404" s="431"/>
      <c r="AG404" s="431"/>
      <c r="AH404" s="431"/>
      <c r="AI404" s="431"/>
      <c r="AJ404" s="431"/>
      <c r="AK404" s="431"/>
      <c r="AL404" s="431"/>
      <c r="AM404" s="431"/>
      <c r="AN404" s="431"/>
      <c r="AO404" s="431"/>
      <c r="AP404" s="432" t="s">
        <v>2345</v>
      </c>
      <c r="AQ404" s="432"/>
      <c r="AR404" s="432" t="s">
        <v>2345</v>
      </c>
      <c r="AS404" s="432"/>
    </row>
    <row r="405" spans="1:45" ht="10.5" customHeight="1">
      <c r="A405" s="367"/>
      <c r="B405" s="429" t="s">
        <v>781</v>
      </c>
      <c r="C405" s="429"/>
      <c r="D405" s="429"/>
      <c r="E405" s="429"/>
      <c r="F405" s="429"/>
      <c r="G405" s="430" t="s">
        <v>782</v>
      </c>
      <c r="H405" s="430"/>
      <c r="I405" s="430"/>
      <c r="J405" s="430"/>
      <c r="K405" s="430"/>
      <c r="L405" s="430"/>
      <c r="M405" s="430"/>
      <c r="N405" s="430"/>
      <c r="O405" s="430"/>
      <c r="P405" s="430"/>
      <c r="Q405" s="430"/>
      <c r="R405" s="430"/>
      <c r="S405" s="430"/>
      <c r="T405" s="430"/>
      <c r="U405" s="431" t="s">
        <v>783</v>
      </c>
      <c r="V405" s="431"/>
      <c r="W405" s="431"/>
      <c r="X405" s="431"/>
      <c r="Y405" s="431"/>
      <c r="Z405" s="431"/>
      <c r="AA405" s="431"/>
      <c r="AB405" s="431"/>
      <c r="AC405" s="431"/>
      <c r="AD405" s="431"/>
      <c r="AE405" s="431"/>
      <c r="AF405" s="431"/>
      <c r="AG405" s="431"/>
      <c r="AH405" s="431"/>
      <c r="AI405" s="431"/>
      <c r="AJ405" s="431"/>
      <c r="AK405" s="431"/>
      <c r="AL405" s="431"/>
      <c r="AM405" s="431"/>
      <c r="AN405" s="431"/>
      <c r="AO405" s="431"/>
      <c r="AP405" s="432" t="s">
        <v>2345</v>
      </c>
      <c r="AQ405" s="432"/>
      <c r="AR405" s="432" t="s">
        <v>2345</v>
      </c>
      <c r="AS405" s="432"/>
    </row>
    <row r="406" spans="1:45" ht="10.5" customHeight="1">
      <c r="A406" s="367"/>
      <c r="B406" s="429" t="s">
        <v>784</v>
      </c>
      <c r="C406" s="429"/>
      <c r="D406" s="429"/>
      <c r="E406" s="429"/>
      <c r="F406" s="429"/>
      <c r="G406" s="430" t="s">
        <v>785</v>
      </c>
      <c r="H406" s="430"/>
      <c r="I406" s="430"/>
      <c r="J406" s="430"/>
      <c r="K406" s="430"/>
      <c r="L406" s="430"/>
      <c r="M406" s="430"/>
      <c r="N406" s="430"/>
      <c r="O406" s="430"/>
      <c r="P406" s="430"/>
      <c r="Q406" s="430"/>
      <c r="R406" s="430"/>
      <c r="S406" s="430"/>
      <c r="T406" s="430"/>
      <c r="U406" s="431" t="s">
        <v>786</v>
      </c>
      <c r="V406" s="431"/>
      <c r="W406" s="431"/>
      <c r="X406" s="431"/>
      <c r="Y406" s="431"/>
      <c r="Z406" s="431"/>
      <c r="AA406" s="431"/>
      <c r="AB406" s="431"/>
      <c r="AC406" s="431"/>
      <c r="AD406" s="431"/>
      <c r="AE406" s="431"/>
      <c r="AF406" s="431"/>
      <c r="AG406" s="431"/>
      <c r="AH406" s="431"/>
      <c r="AI406" s="431"/>
      <c r="AJ406" s="431"/>
      <c r="AK406" s="431"/>
      <c r="AL406" s="431"/>
      <c r="AM406" s="431"/>
      <c r="AN406" s="431"/>
      <c r="AO406" s="431"/>
      <c r="AP406" s="432" t="s">
        <v>2345</v>
      </c>
      <c r="AQ406" s="432"/>
      <c r="AR406" s="432" t="s">
        <v>2345</v>
      </c>
      <c r="AS406" s="432"/>
    </row>
    <row r="407" spans="1:45" ht="22.5" customHeight="1">
      <c r="A407" s="367"/>
      <c r="B407" s="429" t="s">
        <v>787</v>
      </c>
      <c r="C407" s="429"/>
      <c r="D407" s="429"/>
      <c r="E407" s="429"/>
      <c r="F407" s="429"/>
      <c r="G407" s="430" t="s">
        <v>788</v>
      </c>
      <c r="H407" s="430"/>
      <c r="I407" s="430"/>
      <c r="J407" s="430"/>
      <c r="K407" s="430"/>
      <c r="L407" s="430"/>
      <c r="M407" s="430"/>
      <c r="N407" s="430"/>
      <c r="O407" s="430"/>
      <c r="P407" s="430"/>
      <c r="Q407" s="430"/>
      <c r="R407" s="430"/>
      <c r="S407" s="430"/>
      <c r="T407" s="430"/>
      <c r="U407" s="431" t="s">
        <v>789</v>
      </c>
      <c r="V407" s="431"/>
      <c r="W407" s="431"/>
      <c r="X407" s="431"/>
      <c r="Y407" s="431"/>
      <c r="Z407" s="431"/>
      <c r="AA407" s="431"/>
      <c r="AB407" s="431"/>
      <c r="AC407" s="431"/>
      <c r="AD407" s="431"/>
      <c r="AE407" s="431"/>
      <c r="AF407" s="431"/>
      <c r="AG407" s="431"/>
      <c r="AH407" s="431"/>
      <c r="AI407" s="431"/>
      <c r="AJ407" s="431"/>
      <c r="AK407" s="431"/>
      <c r="AL407" s="431"/>
      <c r="AM407" s="431"/>
      <c r="AN407" s="431"/>
      <c r="AO407" s="431"/>
      <c r="AP407" s="432" t="s">
        <v>2345</v>
      </c>
      <c r="AQ407" s="432"/>
      <c r="AR407" s="432" t="s">
        <v>2345</v>
      </c>
      <c r="AS407" s="432"/>
    </row>
    <row r="408" spans="1:45" ht="10.5" customHeight="1">
      <c r="A408" s="367"/>
      <c r="B408" s="429" t="s">
        <v>790</v>
      </c>
      <c r="C408" s="429"/>
      <c r="D408" s="429"/>
      <c r="E408" s="429"/>
      <c r="F408" s="429"/>
      <c r="G408" s="430" t="s">
        <v>791</v>
      </c>
      <c r="H408" s="430"/>
      <c r="I408" s="430"/>
      <c r="J408" s="430"/>
      <c r="K408" s="430"/>
      <c r="L408" s="430"/>
      <c r="M408" s="430"/>
      <c r="N408" s="430"/>
      <c r="O408" s="430"/>
      <c r="P408" s="430"/>
      <c r="Q408" s="430"/>
      <c r="R408" s="430"/>
      <c r="S408" s="430"/>
      <c r="T408" s="430"/>
      <c r="U408" s="431" t="s">
        <v>792</v>
      </c>
      <c r="V408" s="431"/>
      <c r="W408" s="431"/>
      <c r="X408" s="431"/>
      <c r="Y408" s="431"/>
      <c r="Z408" s="431"/>
      <c r="AA408" s="431"/>
      <c r="AB408" s="431"/>
      <c r="AC408" s="431"/>
      <c r="AD408" s="431"/>
      <c r="AE408" s="431"/>
      <c r="AF408" s="431"/>
      <c r="AG408" s="431"/>
      <c r="AH408" s="431"/>
      <c r="AI408" s="431"/>
      <c r="AJ408" s="431"/>
      <c r="AK408" s="431"/>
      <c r="AL408" s="431"/>
      <c r="AM408" s="431"/>
      <c r="AN408" s="431"/>
      <c r="AO408" s="431"/>
      <c r="AP408" s="432" t="s">
        <v>2345</v>
      </c>
      <c r="AQ408" s="432"/>
      <c r="AR408" s="432" t="s">
        <v>2345</v>
      </c>
      <c r="AS408" s="432"/>
    </row>
    <row r="409" spans="1:45" ht="10.5" customHeight="1">
      <c r="A409" s="367"/>
      <c r="B409" s="429" t="s">
        <v>793</v>
      </c>
      <c r="C409" s="429"/>
      <c r="D409" s="429"/>
      <c r="E409" s="429"/>
      <c r="F409" s="429"/>
      <c r="G409" s="430" t="s">
        <v>794</v>
      </c>
      <c r="H409" s="430"/>
      <c r="I409" s="430"/>
      <c r="J409" s="430"/>
      <c r="K409" s="430"/>
      <c r="L409" s="430"/>
      <c r="M409" s="430"/>
      <c r="N409" s="430"/>
      <c r="O409" s="430"/>
      <c r="P409" s="430"/>
      <c r="Q409" s="430"/>
      <c r="R409" s="430"/>
      <c r="S409" s="430"/>
      <c r="T409" s="430"/>
      <c r="U409" s="431" t="s">
        <v>795</v>
      </c>
      <c r="V409" s="431"/>
      <c r="W409" s="431"/>
      <c r="X409" s="431"/>
      <c r="Y409" s="431"/>
      <c r="Z409" s="431"/>
      <c r="AA409" s="431"/>
      <c r="AB409" s="431"/>
      <c r="AC409" s="431"/>
      <c r="AD409" s="431"/>
      <c r="AE409" s="431"/>
      <c r="AF409" s="431"/>
      <c r="AG409" s="431"/>
      <c r="AH409" s="431"/>
      <c r="AI409" s="431"/>
      <c r="AJ409" s="431"/>
      <c r="AK409" s="431"/>
      <c r="AL409" s="431"/>
      <c r="AM409" s="431"/>
      <c r="AN409" s="431"/>
      <c r="AO409" s="431"/>
      <c r="AP409" s="432" t="s">
        <v>2345</v>
      </c>
      <c r="AQ409" s="432"/>
      <c r="AR409" s="432" t="s">
        <v>2345</v>
      </c>
      <c r="AS409" s="432"/>
    </row>
    <row r="410" spans="1:45" ht="10.5" customHeight="1">
      <c r="A410" s="367"/>
      <c r="B410" s="429" t="s">
        <v>796</v>
      </c>
      <c r="C410" s="429"/>
      <c r="D410" s="429"/>
      <c r="E410" s="429"/>
      <c r="F410" s="429"/>
      <c r="G410" s="430" t="s">
        <v>797</v>
      </c>
      <c r="H410" s="430"/>
      <c r="I410" s="430"/>
      <c r="J410" s="430"/>
      <c r="K410" s="430"/>
      <c r="L410" s="430"/>
      <c r="M410" s="430"/>
      <c r="N410" s="430"/>
      <c r="O410" s="430"/>
      <c r="P410" s="430"/>
      <c r="Q410" s="430"/>
      <c r="R410" s="430"/>
      <c r="S410" s="430"/>
      <c r="T410" s="430"/>
      <c r="U410" s="431" t="s">
        <v>798</v>
      </c>
      <c r="V410" s="431"/>
      <c r="W410" s="431"/>
      <c r="X410" s="431"/>
      <c r="Y410" s="431"/>
      <c r="Z410" s="431"/>
      <c r="AA410" s="431"/>
      <c r="AB410" s="431"/>
      <c r="AC410" s="431"/>
      <c r="AD410" s="431"/>
      <c r="AE410" s="431"/>
      <c r="AF410" s="431"/>
      <c r="AG410" s="431"/>
      <c r="AH410" s="431"/>
      <c r="AI410" s="431"/>
      <c r="AJ410" s="431"/>
      <c r="AK410" s="431"/>
      <c r="AL410" s="431"/>
      <c r="AM410" s="431"/>
      <c r="AN410" s="431"/>
      <c r="AO410" s="431"/>
      <c r="AP410" s="432" t="s">
        <v>2345</v>
      </c>
      <c r="AQ410" s="432"/>
      <c r="AR410" s="432" t="s">
        <v>2345</v>
      </c>
      <c r="AS410" s="432"/>
    </row>
    <row r="411" spans="1:45" ht="22.5" customHeight="1">
      <c r="A411" s="367"/>
      <c r="B411" s="429" t="s">
        <v>799</v>
      </c>
      <c r="C411" s="429"/>
      <c r="D411" s="429"/>
      <c r="E411" s="429"/>
      <c r="F411" s="429"/>
      <c r="G411" s="430" t="s">
        <v>800</v>
      </c>
      <c r="H411" s="430"/>
      <c r="I411" s="430"/>
      <c r="J411" s="430"/>
      <c r="K411" s="430"/>
      <c r="L411" s="430"/>
      <c r="M411" s="430"/>
      <c r="N411" s="430"/>
      <c r="O411" s="430"/>
      <c r="P411" s="430"/>
      <c r="Q411" s="430"/>
      <c r="R411" s="430"/>
      <c r="S411" s="430"/>
      <c r="T411" s="430"/>
      <c r="U411" s="431" t="s">
        <v>801</v>
      </c>
      <c r="V411" s="431"/>
      <c r="W411" s="431"/>
      <c r="X411" s="431"/>
      <c r="Y411" s="431"/>
      <c r="Z411" s="431"/>
      <c r="AA411" s="431"/>
      <c r="AB411" s="431"/>
      <c r="AC411" s="431"/>
      <c r="AD411" s="431"/>
      <c r="AE411" s="431"/>
      <c r="AF411" s="431"/>
      <c r="AG411" s="431"/>
      <c r="AH411" s="431"/>
      <c r="AI411" s="431"/>
      <c r="AJ411" s="431"/>
      <c r="AK411" s="431"/>
      <c r="AL411" s="431"/>
      <c r="AM411" s="431"/>
      <c r="AN411" s="431"/>
      <c r="AO411" s="431"/>
      <c r="AP411" s="432" t="s">
        <v>2345</v>
      </c>
      <c r="AQ411" s="432"/>
      <c r="AR411" s="432" t="s">
        <v>2345</v>
      </c>
      <c r="AS411" s="432"/>
    </row>
    <row r="412" spans="1:45" ht="10.5" customHeight="1">
      <c r="A412" s="367"/>
      <c r="B412" s="429" t="s">
        <v>802</v>
      </c>
      <c r="C412" s="429"/>
      <c r="D412" s="429"/>
      <c r="E412" s="429"/>
      <c r="F412" s="429"/>
      <c r="G412" s="430" t="s">
        <v>803</v>
      </c>
      <c r="H412" s="430"/>
      <c r="I412" s="430"/>
      <c r="J412" s="430"/>
      <c r="K412" s="430"/>
      <c r="L412" s="430"/>
      <c r="M412" s="430"/>
      <c r="N412" s="430"/>
      <c r="O412" s="430"/>
      <c r="P412" s="430"/>
      <c r="Q412" s="430"/>
      <c r="R412" s="430"/>
      <c r="S412" s="430"/>
      <c r="T412" s="430"/>
      <c r="U412" s="431" t="s">
        <v>804</v>
      </c>
      <c r="V412" s="431"/>
      <c r="W412" s="431"/>
      <c r="X412" s="431"/>
      <c r="Y412" s="431"/>
      <c r="Z412" s="431"/>
      <c r="AA412" s="431"/>
      <c r="AB412" s="431"/>
      <c r="AC412" s="431"/>
      <c r="AD412" s="431"/>
      <c r="AE412" s="431"/>
      <c r="AF412" s="431"/>
      <c r="AG412" s="431"/>
      <c r="AH412" s="431"/>
      <c r="AI412" s="431"/>
      <c r="AJ412" s="431"/>
      <c r="AK412" s="431"/>
      <c r="AL412" s="431"/>
      <c r="AM412" s="431"/>
      <c r="AN412" s="431"/>
      <c r="AO412" s="431"/>
      <c r="AP412" s="432" t="s">
        <v>2345</v>
      </c>
      <c r="AQ412" s="432"/>
      <c r="AR412" s="432" t="s">
        <v>2345</v>
      </c>
      <c r="AS412" s="432"/>
    </row>
    <row r="413" spans="1:45" ht="10.5" customHeight="1">
      <c r="A413" s="367"/>
      <c r="B413" s="429" t="s">
        <v>805</v>
      </c>
      <c r="C413" s="429"/>
      <c r="D413" s="429"/>
      <c r="E413" s="429"/>
      <c r="F413" s="429"/>
      <c r="G413" s="430" t="s">
        <v>806</v>
      </c>
      <c r="H413" s="430"/>
      <c r="I413" s="430"/>
      <c r="J413" s="430"/>
      <c r="K413" s="430"/>
      <c r="L413" s="430"/>
      <c r="M413" s="430"/>
      <c r="N413" s="430"/>
      <c r="O413" s="430"/>
      <c r="P413" s="430"/>
      <c r="Q413" s="430"/>
      <c r="R413" s="430"/>
      <c r="S413" s="430"/>
      <c r="T413" s="430"/>
      <c r="U413" s="431" t="s">
        <v>807</v>
      </c>
      <c r="V413" s="431"/>
      <c r="W413" s="431"/>
      <c r="X413" s="431"/>
      <c r="Y413" s="431"/>
      <c r="Z413" s="431"/>
      <c r="AA413" s="431"/>
      <c r="AB413" s="431"/>
      <c r="AC413" s="431"/>
      <c r="AD413" s="431"/>
      <c r="AE413" s="431"/>
      <c r="AF413" s="431"/>
      <c r="AG413" s="431"/>
      <c r="AH413" s="431"/>
      <c r="AI413" s="431"/>
      <c r="AJ413" s="431"/>
      <c r="AK413" s="431"/>
      <c r="AL413" s="431"/>
      <c r="AM413" s="431"/>
      <c r="AN413" s="431"/>
      <c r="AO413" s="431"/>
      <c r="AP413" s="432" t="s">
        <v>2345</v>
      </c>
      <c r="AQ413" s="432"/>
      <c r="AR413" s="432" t="s">
        <v>2345</v>
      </c>
      <c r="AS413" s="432"/>
    </row>
    <row r="414" spans="1:45" ht="10.5" customHeight="1">
      <c r="A414" s="367"/>
      <c r="B414" s="429" t="s">
        <v>808</v>
      </c>
      <c r="C414" s="429"/>
      <c r="D414" s="429"/>
      <c r="E414" s="429"/>
      <c r="F414" s="429"/>
      <c r="G414" s="430" t="s">
        <v>809</v>
      </c>
      <c r="H414" s="430"/>
      <c r="I414" s="430"/>
      <c r="J414" s="430"/>
      <c r="K414" s="430"/>
      <c r="L414" s="430"/>
      <c r="M414" s="430"/>
      <c r="N414" s="430"/>
      <c r="O414" s="430"/>
      <c r="P414" s="430"/>
      <c r="Q414" s="430"/>
      <c r="R414" s="430"/>
      <c r="S414" s="430"/>
      <c r="T414" s="430"/>
      <c r="U414" s="431" t="s">
        <v>810</v>
      </c>
      <c r="V414" s="431"/>
      <c r="W414" s="431"/>
      <c r="X414" s="431"/>
      <c r="Y414" s="431"/>
      <c r="Z414" s="431"/>
      <c r="AA414" s="431"/>
      <c r="AB414" s="431"/>
      <c r="AC414" s="431"/>
      <c r="AD414" s="431"/>
      <c r="AE414" s="431"/>
      <c r="AF414" s="431"/>
      <c r="AG414" s="431"/>
      <c r="AH414" s="431"/>
      <c r="AI414" s="431"/>
      <c r="AJ414" s="431"/>
      <c r="AK414" s="431"/>
      <c r="AL414" s="431"/>
      <c r="AM414" s="431"/>
      <c r="AN414" s="431"/>
      <c r="AO414" s="431"/>
      <c r="AP414" s="432" t="s">
        <v>2345</v>
      </c>
      <c r="AQ414" s="432"/>
      <c r="AR414" s="432" t="s">
        <v>2345</v>
      </c>
      <c r="AS414" s="432"/>
    </row>
    <row r="415" spans="1:45" ht="22.5" customHeight="1">
      <c r="A415" s="367"/>
      <c r="B415" s="429" t="s">
        <v>811</v>
      </c>
      <c r="C415" s="429"/>
      <c r="D415" s="429"/>
      <c r="E415" s="429"/>
      <c r="F415" s="429"/>
      <c r="G415" s="430" t="s">
        <v>812</v>
      </c>
      <c r="H415" s="430"/>
      <c r="I415" s="430"/>
      <c r="J415" s="430"/>
      <c r="K415" s="430"/>
      <c r="L415" s="430"/>
      <c r="M415" s="430"/>
      <c r="N415" s="430"/>
      <c r="O415" s="430"/>
      <c r="P415" s="430"/>
      <c r="Q415" s="430"/>
      <c r="R415" s="430"/>
      <c r="S415" s="430"/>
      <c r="T415" s="430"/>
      <c r="U415" s="431" t="s">
        <v>813</v>
      </c>
      <c r="V415" s="431"/>
      <c r="W415" s="431"/>
      <c r="X415" s="431"/>
      <c r="Y415" s="431"/>
      <c r="Z415" s="431"/>
      <c r="AA415" s="431"/>
      <c r="AB415" s="431"/>
      <c r="AC415" s="431"/>
      <c r="AD415" s="431"/>
      <c r="AE415" s="431"/>
      <c r="AF415" s="431"/>
      <c r="AG415" s="431"/>
      <c r="AH415" s="431"/>
      <c r="AI415" s="431"/>
      <c r="AJ415" s="431"/>
      <c r="AK415" s="431"/>
      <c r="AL415" s="431"/>
      <c r="AM415" s="431"/>
      <c r="AN415" s="431"/>
      <c r="AO415" s="431"/>
      <c r="AP415" s="432" t="s">
        <v>2345</v>
      </c>
      <c r="AQ415" s="432"/>
      <c r="AR415" s="432" t="s">
        <v>2345</v>
      </c>
      <c r="AS415" s="432"/>
    </row>
    <row r="416" spans="1:45" ht="10.5" customHeight="1">
      <c r="A416" s="367"/>
      <c r="B416" s="429" t="s">
        <v>814</v>
      </c>
      <c r="C416" s="429"/>
      <c r="D416" s="429"/>
      <c r="E416" s="429"/>
      <c r="F416" s="429"/>
      <c r="G416" s="430" t="s">
        <v>815</v>
      </c>
      <c r="H416" s="430"/>
      <c r="I416" s="430"/>
      <c r="J416" s="430"/>
      <c r="K416" s="430"/>
      <c r="L416" s="430"/>
      <c r="M416" s="430"/>
      <c r="N416" s="430"/>
      <c r="O416" s="430"/>
      <c r="P416" s="430"/>
      <c r="Q416" s="430"/>
      <c r="R416" s="430"/>
      <c r="S416" s="430"/>
      <c r="T416" s="430"/>
      <c r="U416" s="431" t="s">
        <v>816</v>
      </c>
      <c r="V416" s="431"/>
      <c r="W416" s="431"/>
      <c r="X416" s="431"/>
      <c r="Y416" s="431"/>
      <c r="Z416" s="431"/>
      <c r="AA416" s="431"/>
      <c r="AB416" s="431"/>
      <c r="AC416" s="431"/>
      <c r="AD416" s="431"/>
      <c r="AE416" s="431"/>
      <c r="AF416" s="431"/>
      <c r="AG416" s="431"/>
      <c r="AH416" s="431"/>
      <c r="AI416" s="431"/>
      <c r="AJ416" s="431"/>
      <c r="AK416" s="431"/>
      <c r="AL416" s="431"/>
      <c r="AM416" s="431"/>
      <c r="AN416" s="431"/>
      <c r="AO416" s="431"/>
      <c r="AP416" s="432" t="s">
        <v>2345</v>
      </c>
      <c r="AQ416" s="432"/>
      <c r="AR416" s="432" t="s">
        <v>2345</v>
      </c>
      <c r="AS416" s="432"/>
    </row>
    <row r="417" spans="1:45" ht="10.5" customHeight="1">
      <c r="A417" s="367"/>
      <c r="B417" s="429" t="s">
        <v>817</v>
      </c>
      <c r="C417" s="429"/>
      <c r="D417" s="429"/>
      <c r="E417" s="429"/>
      <c r="F417" s="429"/>
      <c r="G417" s="430" t="s">
        <v>818</v>
      </c>
      <c r="H417" s="430"/>
      <c r="I417" s="430"/>
      <c r="J417" s="430"/>
      <c r="K417" s="430"/>
      <c r="L417" s="430"/>
      <c r="M417" s="430"/>
      <c r="N417" s="430"/>
      <c r="O417" s="430"/>
      <c r="P417" s="430"/>
      <c r="Q417" s="430"/>
      <c r="R417" s="430"/>
      <c r="S417" s="430"/>
      <c r="T417" s="430"/>
      <c r="U417" s="431" t="s">
        <v>819</v>
      </c>
      <c r="V417" s="431"/>
      <c r="W417" s="431"/>
      <c r="X417" s="431"/>
      <c r="Y417" s="431"/>
      <c r="Z417" s="431"/>
      <c r="AA417" s="431"/>
      <c r="AB417" s="431"/>
      <c r="AC417" s="431"/>
      <c r="AD417" s="431"/>
      <c r="AE417" s="431"/>
      <c r="AF417" s="431"/>
      <c r="AG417" s="431"/>
      <c r="AH417" s="431"/>
      <c r="AI417" s="431"/>
      <c r="AJ417" s="431"/>
      <c r="AK417" s="431"/>
      <c r="AL417" s="431"/>
      <c r="AM417" s="431"/>
      <c r="AN417" s="431"/>
      <c r="AO417" s="431"/>
      <c r="AP417" s="432" t="s">
        <v>2345</v>
      </c>
      <c r="AQ417" s="432"/>
      <c r="AR417" s="432" t="s">
        <v>2345</v>
      </c>
      <c r="AS417" s="432"/>
    </row>
    <row r="418" spans="1:45" ht="10.5" customHeight="1">
      <c r="A418" s="367"/>
      <c r="B418" s="429" t="s">
        <v>820</v>
      </c>
      <c r="C418" s="429"/>
      <c r="D418" s="429"/>
      <c r="E418" s="429"/>
      <c r="F418" s="429"/>
      <c r="G418" s="430" t="s">
        <v>821</v>
      </c>
      <c r="H418" s="430"/>
      <c r="I418" s="430"/>
      <c r="J418" s="430"/>
      <c r="K418" s="430"/>
      <c r="L418" s="430"/>
      <c r="M418" s="430"/>
      <c r="N418" s="430"/>
      <c r="O418" s="430"/>
      <c r="P418" s="430"/>
      <c r="Q418" s="430"/>
      <c r="R418" s="430"/>
      <c r="S418" s="430"/>
      <c r="T418" s="430"/>
      <c r="U418" s="431" t="s">
        <v>822</v>
      </c>
      <c r="V418" s="431"/>
      <c r="W418" s="431"/>
      <c r="X418" s="431"/>
      <c r="Y418" s="431"/>
      <c r="Z418" s="431"/>
      <c r="AA418" s="431"/>
      <c r="AB418" s="431"/>
      <c r="AC418" s="431"/>
      <c r="AD418" s="431"/>
      <c r="AE418" s="431"/>
      <c r="AF418" s="431"/>
      <c r="AG418" s="431"/>
      <c r="AH418" s="431"/>
      <c r="AI418" s="431"/>
      <c r="AJ418" s="431"/>
      <c r="AK418" s="431"/>
      <c r="AL418" s="431"/>
      <c r="AM418" s="431"/>
      <c r="AN418" s="431"/>
      <c r="AO418" s="431"/>
      <c r="AP418" s="432" t="s">
        <v>2345</v>
      </c>
      <c r="AQ418" s="432"/>
      <c r="AR418" s="432" t="s">
        <v>2345</v>
      </c>
      <c r="AS418" s="432"/>
    </row>
    <row r="419" spans="1:45" ht="10.5" customHeight="1" thickBot="1">
      <c r="A419" s="367"/>
      <c r="B419" s="433" t="s">
        <v>823</v>
      </c>
      <c r="C419" s="433"/>
      <c r="D419" s="433"/>
      <c r="E419" s="433"/>
      <c r="F419" s="433"/>
      <c r="G419" s="434" t="s">
        <v>824</v>
      </c>
      <c r="H419" s="434"/>
      <c r="I419" s="434"/>
      <c r="J419" s="434"/>
      <c r="K419" s="434"/>
      <c r="L419" s="434"/>
      <c r="M419" s="434"/>
      <c r="N419" s="434"/>
      <c r="O419" s="434"/>
      <c r="P419" s="434"/>
      <c r="Q419" s="434"/>
      <c r="R419" s="434"/>
      <c r="S419" s="434"/>
      <c r="T419" s="434"/>
      <c r="U419" s="435" t="s">
        <v>825</v>
      </c>
      <c r="V419" s="435"/>
      <c r="W419" s="435"/>
      <c r="X419" s="435"/>
      <c r="Y419" s="435"/>
      <c r="Z419" s="435"/>
      <c r="AA419" s="435"/>
      <c r="AB419" s="435"/>
      <c r="AC419" s="435"/>
      <c r="AD419" s="435"/>
      <c r="AE419" s="435"/>
      <c r="AF419" s="435"/>
      <c r="AG419" s="435"/>
      <c r="AH419" s="435"/>
      <c r="AI419" s="435"/>
      <c r="AJ419" s="435"/>
      <c r="AK419" s="435"/>
      <c r="AL419" s="435"/>
      <c r="AM419" s="435"/>
      <c r="AN419" s="435"/>
      <c r="AO419" s="435"/>
      <c r="AP419" s="436" t="s">
        <v>2345</v>
      </c>
      <c r="AQ419" s="436"/>
      <c r="AR419" s="436" t="s">
        <v>2345</v>
      </c>
      <c r="AS419" s="436"/>
    </row>
    <row r="420" spans="1:45" ht="13.5" thickBot="1">
      <c r="A420" s="437" t="s">
        <v>1801</v>
      </c>
      <c r="B420" s="437"/>
      <c r="C420" s="437"/>
      <c r="D420" s="437"/>
      <c r="E420" s="437"/>
      <c r="F420" s="437"/>
      <c r="G420" s="437"/>
      <c r="H420" s="437"/>
      <c r="I420" s="437"/>
      <c r="J420" s="437"/>
      <c r="K420" s="437"/>
      <c r="L420" s="437"/>
      <c r="M420" s="437"/>
      <c r="N420" s="437"/>
      <c r="O420" s="437"/>
      <c r="P420" s="437"/>
      <c r="Q420" s="437"/>
      <c r="R420" s="437"/>
      <c r="S420" s="437"/>
      <c r="T420" s="437"/>
      <c r="U420" s="369" t="s">
        <v>826</v>
      </c>
      <c r="V420" s="369"/>
      <c r="W420" s="369"/>
      <c r="X420" s="369"/>
      <c r="Y420" s="369"/>
      <c r="Z420" s="369" t="s">
        <v>1599</v>
      </c>
      <c r="AA420" s="369"/>
      <c r="AB420" s="369"/>
      <c r="AC420" s="369"/>
      <c r="AD420" s="369"/>
      <c r="AE420" s="369"/>
      <c r="AF420" s="369" t="s">
        <v>1802</v>
      </c>
      <c r="AG420" s="369"/>
      <c r="AH420" s="369"/>
      <c r="AI420" s="369"/>
      <c r="AJ420" s="369" t="s">
        <v>1803</v>
      </c>
      <c r="AK420" s="369"/>
      <c r="AL420" s="369"/>
      <c r="AM420" s="369"/>
      <c r="AN420" s="369"/>
      <c r="AO420" s="369"/>
      <c r="AP420" s="411" t="s">
        <v>827</v>
      </c>
      <c r="AQ420" s="411"/>
      <c r="AR420" s="411" t="s">
        <v>828</v>
      </c>
      <c r="AS420" s="411"/>
    </row>
    <row r="421" spans="1:45" ht="4.5" customHeight="1" thickBot="1">
      <c r="A421" s="438"/>
      <c r="B421" s="438"/>
      <c r="C421" s="438"/>
      <c r="D421" s="438"/>
      <c r="E421" s="438"/>
      <c r="F421" s="438"/>
      <c r="G421" s="438"/>
      <c r="H421" s="438"/>
      <c r="I421" s="438"/>
      <c r="J421" s="438"/>
      <c r="K421" s="438"/>
      <c r="L421" s="438"/>
      <c r="M421" s="438"/>
      <c r="N421" s="438"/>
      <c r="O421" s="438"/>
      <c r="P421" s="438"/>
      <c r="Q421" s="438"/>
      <c r="R421" s="438"/>
      <c r="S421" s="438"/>
      <c r="T421" s="438"/>
      <c r="U421" s="438"/>
      <c r="V421" s="438"/>
      <c r="W421" s="438"/>
      <c r="X421" s="438"/>
      <c r="Y421" s="438"/>
      <c r="Z421" s="438"/>
      <c r="AA421" s="438"/>
      <c r="AB421" s="438"/>
      <c r="AC421" s="438"/>
      <c r="AD421" s="438"/>
      <c r="AE421" s="438"/>
      <c r="AF421" s="438"/>
      <c r="AG421" s="438"/>
      <c r="AH421" s="438"/>
      <c r="AI421" s="438"/>
      <c r="AJ421" s="438"/>
      <c r="AK421" s="438"/>
      <c r="AL421" s="438"/>
      <c r="AM421" s="438"/>
      <c r="AN421" s="438"/>
      <c r="AO421" s="438"/>
      <c r="AP421" s="438"/>
      <c r="AQ421" s="438"/>
      <c r="AR421" s="438"/>
      <c r="AS421" s="438"/>
    </row>
    <row r="422" spans="1:45" ht="13.5" thickBot="1">
      <c r="A422" s="437" t="s">
        <v>829</v>
      </c>
      <c r="B422" s="437"/>
      <c r="C422" s="437"/>
      <c r="D422" s="437"/>
      <c r="E422" s="437"/>
      <c r="F422" s="437"/>
      <c r="G422" s="437"/>
      <c r="H422" s="437"/>
      <c r="I422" s="437"/>
      <c r="J422" s="437"/>
      <c r="K422" s="437"/>
      <c r="L422" s="437"/>
      <c r="M422" s="437"/>
      <c r="N422" s="437"/>
      <c r="O422" s="437"/>
      <c r="P422" s="437"/>
      <c r="Q422" s="437"/>
      <c r="R422" s="437"/>
      <c r="S422" s="437"/>
      <c r="T422" s="437"/>
      <c r="U422" s="369" t="s">
        <v>830</v>
      </c>
      <c r="V422" s="369"/>
      <c r="W422" s="369"/>
      <c r="X422" s="369"/>
      <c r="Y422" s="369"/>
      <c r="Z422" s="369"/>
      <c r="AA422" s="369"/>
      <c r="AB422" s="369"/>
      <c r="AC422" s="369"/>
      <c r="AD422" s="369"/>
      <c r="AE422" s="369"/>
      <c r="AF422" s="370" t="s">
        <v>2121</v>
      </c>
      <c r="AG422" s="370"/>
      <c r="AH422" s="370"/>
      <c r="AI422" s="370"/>
      <c r="AJ422" s="369" t="s">
        <v>2122</v>
      </c>
      <c r="AK422" s="369"/>
      <c r="AL422" s="369"/>
      <c r="AM422" s="369"/>
      <c r="AN422" s="369"/>
      <c r="AO422" s="369"/>
      <c r="AP422" s="411" t="s">
        <v>2345</v>
      </c>
      <c r="AQ422" s="411"/>
      <c r="AR422" s="419" t="s">
        <v>640</v>
      </c>
      <c r="AS422" s="419"/>
    </row>
    <row r="423" spans="1:45" ht="4.5" customHeight="1">
      <c r="A423" s="383"/>
      <c r="B423" s="383"/>
      <c r="C423" s="383"/>
      <c r="D423" s="383"/>
      <c r="E423" s="383"/>
      <c r="F423" s="383"/>
      <c r="G423" s="383"/>
      <c r="H423" s="383"/>
      <c r="I423" s="383"/>
      <c r="J423" s="383"/>
      <c r="K423" s="383"/>
      <c r="L423" s="383"/>
      <c r="M423" s="383"/>
      <c r="N423" s="383"/>
      <c r="O423" s="383"/>
      <c r="P423" s="383"/>
      <c r="Q423" s="383"/>
      <c r="R423" s="383"/>
      <c r="S423" s="383"/>
      <c r="T423" s="383"/>
      <c r="U423" s="383"/>
      <c r="V423" s="383"/>
      <c r="W423" s="383"/>
      <c r="X423" s="383"/>
      <c r="Y423" s="383"/>
      <c r="Z423" s="383"/>
      <c r="AA423" s="383"/>
      <c r="AB423" s="383"/>
      <c r="AC423" s="383"/>
      <c r="AD423" s="383"/>
      <c r="AE423" s="383"/>
      <c r="AF423" s="383"/>
      <c r="AG423" s="383"/>
      <c r="AH423" s="383"/>
      <c r="AI423" s="383"/>
      <c r="AJ423" s="383"/>
      <c r="AK423" s="383"/>
      <c r="AL423" s="383"/>
      <c r="AM423" s="383"/>
      <c r="AN423" s="383"/>
      <c r="AO423" s="383"/>
      <c r="AP423" s="383"/>
      <c r="AQ423" s="383"/>
      <c r="AR423" s="383"/>
      <c r="AS423" s="383"/>
    </row>
    <row r="424" spans="1:45" ht="12.75">
      <c r="A424" s="392"/>
      <c r="B424" s="392"/>
      <c r="C424" s="343" t="s">
        <v>831</v>
      </c>
      <c r="D424" s="343"/>
      <c r="E424" s="343"/>
      <c r="F424" s="343"/>
      <c r="G424" s="343" t="s">
        <v>832</v>
      </c>
      <c r="H424" s="343"/>
      <c r="I424" s="343"/>
      <c r="J424" s="343"/>
      <c r="K424" s="343"/>
      <c r="L424" s="343"/>
      <c r="M424" s="343"/>
      <c r="N424" s="343"/>
      <c r="O424" s="343"/>
      <c r="P424" s="343"/>
      <c r="Q424" s="343"/>
      <c r="R424" s="343"/>
      <c r="S424" s="343"/>
      <c r="T424" s="343"/>
      <c r="U424" s="352" t="s">
        <v>833</v>
      </c>
      <c r="V424" s="352"/>
      <c r="W424" s="352"/>
      <c r="X424" s="352"/>
      <c r="Y424" s="352"/>
      <c r="Z424" s="352"/>
      <c r="AA424" s="352"/>
      <c r="AB424" s="352"/>
      <c r="AC424" s="352"/>
      <c r="AD424" s="352"/>
      <c r="AE424" s="352"/>
      <c r="AF424" s="352" t="s">
        <v>2136</v>
      </c>
      <c r="AG424" s="352"/>
      <c r="AH424" s="352"/>
      <c r="AI424" s="352"/>
      <c r="AJ424" s="368" t="s">
        <v>2137</v>
      </c>
      <c r="AK424" s="368"/>
      <c r="AL424" s="368"/>
      <c r="AM424" s="368"/>
      <c r="AN424" s="368"/>
      <c r="AO424" s="368"/>
      <c r="AP424" s="403" t="s">
        <v>2345</v>
      </c>
      <c r="AQ424" s="403"/>
      <c r="AR424" s="413" t="s">
        <v>640</v>
      </c>
      <c r="AS424" s="413"/>
    </row>
    <row r="425" spans="1:45" ht="13.5" thickBot="1">
      <c r="A425" s="439" t="s">
        <v>834</v>
      </c>
      <c r="B425" s="439"/>
      <c r="C425" s="439"/>
      <c r="D425" s="439"/>
      <c r="E425" s="439"/>
      <c r="F425" s="439"/>
      <c r="G425" s="439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  <c r="T425" s="439"/>
      <c r="U425" s="417" t="s">
        <v>835</v>
      </c>
      <c r="V425" s="417"/>
      <c r="W425" s="417"/>
      <c r="X425" s="417"/>
      <c r="Y425" s="417"/>
      <c r="Z425" s="353"/>
      <c r="AA425" s="353"/>
      <c r="AB425" s="353"/>
      <c r="AC425" s="353"/>
      <c r="AD425" s="353"/>
      <c r="AE425" s="353"/>
      <c r="AF425" s="353"/>
      <c r="AG425" s="353"/>
      <c r="AH425" s="353"/>
      <c r="AI425" s="353"/>
      <c r="AJ425" s="353"/>
      <c r="AK425" s="353"/>
      <c r="AL425" s="353"/>
      <c r="AM425" s="353"/>
      <c r="AN425" s="353"/>
      <c r="AO425" s="353"/>
      <c r="AP425" s="418" t="s">
        <v>2345</v>
      </c>
      <c r="AQ425" s="418"/>
      <c r="AR425" s="418" t="s">
        <v>2345</v>
      </c>
      <c r="AS425" s="418"/>
    </row>
    <row r="426" spans="1:45" ht="13.5" thickBot="1">
      <c r="A426" s="437" t="s">
        <v>836</v>
      </c>
      <c r="B426" s="437"/>
      <c r="C426" s="437"/>
      <c r="D426" s="437"/>
      <c r="E426" s="437"/>
      <c r="F426" s="437"/>
      <c r="G426" s="437"/>
      <c r="H426" s="437"/>
      <c r="I426" s="437"/>
      <c r="J426" s="437"/>
      <c r="K426" s="437"/>
      <c r="L426" s="437"/>
      <c r="M426" s="437"/>
      <c r="N426" s="437"/>
      <c r="O426" s="437"/>
      <c r="P426" s="437"/>
      <c r="Q426" s="437"/>
      <c r="R426" s="437"/>
      <c r="S426" s="437"/>
      <c r="T426" s="437"/>
      <c r="U426" s="369" t="s">
        <v>837</v>
      </c>
      <c r="V426" s="369"/>
      <c r="W426" s="369"/>
      <c r="X426" s="369"/>
      <c r="Y426" s="369"/>
      <c r="Z426" s="369"/>
      <c r="AA426" s="369"/>
      <c r="AB426" s="369"/>
      <c r="AC426" s="369"/>
      <c r="AD426" s="369"/>
      <c r="AE426" s="369"/>
      <c r="AF426" s="369" t="s">
        <v>2136</v>
      </c>
      <c r="AG426" s="369"/>
      <c r="AH426" s="369"/>
      <c r="AI426" s="369"/>
      <c r="AJ426" s="370" t="s">
        <v>2137</v>
      </c>
      <c r="AK426" s="370"/>
      <c r="AL426" s="370"/>
      <c r="AM426" s="370"/>
      <c r="AN426" s="370"/>
      <c r="AO426" s="370"/>
      <c r="AP426" s="411" t="s">
        <v>2345</v>
      </c>
      <c r="AQ426" s="411"/>
      <c r="AR426" s="419" t="s">
        <v>640</v>
      </c>
      <c r="AS426" s="419"/>
    </row>
    <row r="427" spans="1:45" ht="4.5" customHeight="1">
      <c r="A427" s="383"/>
      <c r="B427" s="383"/>
      <c r="C427" s="383"/>
      <c r="D427" s="383"/>
      <c r="E427" s="383"/>
      <c r="F427" s="383"/>
      <c r="G427" s="383"/>
      <c r="H427" s="383"/>
      <c r="I427" s="383"/>
      <c r="J427" s="383"/>
      <c r="K427" s="383"/>
      <c r="L427" s="383"/>
      <c r="M427" s="383"/>
      <c r="N427" s="383"/>
      <c r="O427" s="383"/>
      <c r="P427" s="383"/>
      <c r="Q427" s="383"/>
      <c r="R427" s="383"/>
      <c r="S427" s="383"/>
      <c r="T427" s="383"/>
      <c r="U427" s="383"/>
      <c r="V427" s="383"/>
      <c r="W427" s="383"/>
      <c r="X427" s="383"/>
      <c r="Y427" s="383"/>
      <c r="Z427" s="383"/>
      <c r="AA427" s="383"/>
      <c r="AB427" s="383"/>
      <c r="AC427" s="383"/>
      <c r="AD427" s="383"/>
      <c r="AE427" s="383"/>
      <c r="AF427" s="383"/>
      <c r="AG427" s="383"/>
      <c r="AH427" s="383"/>
      <c r="AI427" s="383"/>
      <c r="AJ427" s="383"/>
      <c r="AK427" s="383"/>
      <c r="AL427" s="383"/>
      <c r="AM427" s="383"/>
      <c r="AN427" s="383"/>
      <c r="AO427" s="383"/>
      <c r="AP427" s="383"/>
      <c r="AQ427" s="383"/>
      <c r="AR427" s="383"/>
      <c r="AS427" s="383"/>
    </row>
    <row r="428" spans="1:45" ht="13.5" thickBot="1">
      <c r="A428" s="440" t="s">
        <v>838</v>
      </c>
      <c r="B428" s="440"/>
      <c r="C428" s="440"/>
      <c r="D428" s="440"/>
      <c r="E428" s="440"/>
      <c r="F428" s="440"/>
      <c r="G428" s="440"/>
      <c r="H428" s="440"/>
      <c r="I428" s="440"/>
      <c r="J428" s="440"/>
      <c r="K428" s="440"/>
      <c r="L428" s="440"/>
      <c r="M428" s="440"/>
      <c r="N428" s="440"/>
      <c r="O428" s="440"/>
      <c r="P428" s="440"/>
      <c r="Q428" s="440"/>
      <c r="R428" s="440"/>
      <c r="S428" s="440"/>
      <c r="T428" s="440"/>
      <c r="U428" s="440"/>
      <c r="V428" s="440"/>
      <c r="W428" s="440"/>
      <c r="X428" s="440"/>
      <c r="Y428" s="440"/>
      <c r="Z428" s="440"/>
      <c r="AA428" s="440"/>
      <c r="AB428" s="440"/>
      <c r="AC428" s="440"/>
      <c r="AD428" s="440"/>
      <c r="AE428" s="440"/>
      <c r="AF428" s="440"/>
      <c r="AG428" s="440"/>
      <c r="AH428" s="440"/>
      <c r="AI428" s="440"/>
      <c r="AJ428" s="440"/>
      <c r="AK428" s="440"/>
      <c r="AL428" s="440"/>
      <c r="AM428" s="440"/>
      <c r="AN428" s="440"/>
      <c r="AO428" s="440"/>
      <c r="AP428" s="440"/>
      <c r="AQ428" s="440"/>
      <c r="AR428" s="440"/>
      <c r="AS428" s="440"/>
    </row>
    <row r="429" spans="1:45" ht="12.75">
      <c r="A429" s="350" t="s">
        <v>2183</v>
      </c>
      <c r="B429" s="350"/>
      <c r="C429" s="350"/>
      <c r="D429" s="350"/>
      <c r="E429" s="350"/>
      <c r="F429" s="350"/>
      <c r="G429" s="350"/>
      <c r="H429" s="350"/>
      <c r="I429" s="350"/>
      <c r="J429" s="350"/>
      <c r="K429" s="350"/>
      <c r="L429" s="350"/>
      <c r="M429" s="350"/>
      <c r="N429" s="350"/>
      <c r="O429" s="350"/>
      <c r="P429" s="350"/>
      <c r="Q429" s="350"/>
      <c r="R429" s="351" t="s">
        <v>716</v>
      </c>
      <c r="S429" s="351"/>
      <c r="T429" s="351"/>
      <c r="U429" s="351"/>
      <c r="V429" s="351"/>
      <c r="W429" s="351"/>
      <c r="X429" s="351"/>
      <c r="Y429" s="351"/>
      <c r="Z429" s="351" t="s">
        <v>2184</v>
      </c>
      <c r="AA429" s="351"/>
      <c r="AB429" s="351"/>
      <c r="AC429" s="351"/>
      <c r="AD429" s="351"/>
      <c r="AE429" s="351"/>
      <c r="AF429" s="351" t="s">
        <v>839</v>
      </c>
      <c r="AG429" s="351"/>
      <c r="AH429" s="351"/>
      <c r="AI429" s="351"/>
      <c r="AJ429" s="351" t="s">
        <v>2187</v>
      </c>
      <c r="AK429" s="351"/>
      <c r="AL429" s="351"/>
      <c r="AM429" s="351"/>
      <c r="AN429" s="351"/>
      <c r="AO429" s="351"/>
      <c r="AP429" s="371"/>
      <c r="AQ429" s="371"/>
      <c r="AR429" s="371"/>
      <c r="AS429" s="371"/>
    </row>
    <row r="430" spans="1:45" ht="9.75" customHeight="1" thickBot="1">
      <c r="A430" s="398" t="s">
        <v>2291</v>
      </c>
      <c r="B430" s="398"/>
      <c r="C430" s="398"/>
      <c r="D430" s="398"/>
      <c r="E430" s="398"/>
      <c r="F430" s="398"/>
      <c r="G430" s="398"/>
      <c r="H430" s="398"/>
      <c r="I430" s="398"/>
      <c r="J430" s="398"/>
      <c r="K430" s="398"/>
      <c r="L430" s="398"/>
      <c r="M430" s="398"/>
      <c r="N430" s="398"/>
      <c r="O430" s="398"/>
      <c r="P430" s="398"/>
      <c r="Q430" s="398"/>
      <c r="R430" s="399" t="s">
        <v>717</v>
      </c>
      <c r="S430" s="399"/>
      <c r="T430" s="399"/>
      <c r="U430" s="399"/>
      <c r="V430" s="399"/>
      <c r="W430" s="399"/>
      <c r="X430" s="399"/>
      <c r="Y430" s="399"/>
      <c r="Z430" s="399" t="s">
        <v>2098</v>
      </c>
      <c r="AA430" s="399"/>
      <c r="AB430" s="399"/>
      <c r="AC430" s="399"/>
      <c r="AD430" s="399"/>
      <c r="AE430" s="399"/>
      <c r="AF430" s="399" t="s">
        <v>840</v>
      </c>
      <c r="AG430" s="399"/>
      <c r="AH430" s="399"/>
      <c r="AI430" s="399"/>
      <c r="AJ430" s="399" t="s">
        <v>2114</v>
      </c>
      <c r="AK430" s="399"/>
      <c r="AL430" s="399"/>
      <c r="AM430" s="399"/>
      <c r="AN430" s="399"/>
      <c r="AO430" s="399"/>
      <c r="AP430" s="371"/>
      <c r="AQ430" s="371"/>
      <c r="AR430" s="371"/>
      <c r="AS430" s="371"/>
    </row>
    <row r="431" spans="1:45" ht="4.5" customHeight="1">
      <c r="A431" s="371"/>
      <c r="B431" s="371"/>
      <c r="C431" s="371"/>
      <c r="D431" s="371"/>
      <c r="E431" s="371"/>
      <c r="F431" s="371"/>
      <c r="G431" s="371"/>
      <c r="H431" s="371"/>
      <c r="I431" s="371"/>
      <c r="J431" s="371"/>
      <c r="K431" s="371"/>
      <c r="L431" s="371"/>
      <c r="M431" s="371"/>
      <c r="N431" s="371"/>
      <c r="O431" s="371"/>
      <c r="P431" s="371"/>
      <c r="Q431" s="371"/>
      <c r="R431" s="371"/>
      <c r="S431" s="371"/>
      <c r="T431" s="371"/>
      <c r="U431" s="371"/>
      <c r="V431" s="371"/>
      <c r="W431" s="371"/>
      <c r="X431" s="371"/>
      <c r="Y431" s="371"/>
      <c r="Z431" s="371"/>
      <c r="AA431" s="371"/>
      <c r="AB431" s="371"/>
      <c r="AC431" s="371"/>
      <c r="AD431" s="371"/>
      <c r="AE431" s="371"/>
      <c r="AF431" s="371"/>
      <c r="AG431" s="371"/>
      <c r="AH431" s="371"/>
      <c r="AI431" s="371"/>
      <c r="AJ431" s="371"/>
      <c r="AK431" s="371"/>
      <c r="AL431" s="371"/>
      <c r="AM431" s="371"/>
      <c r="AN431" s="371"/>
      <c r="AO431" s="371"/>
      <c r="AP431" s="371"/>
      <c r="AQ431" s="371"/>
      <c r="AR431" s="371"/>
      <c r="AS431" s="371"/>
    </row>
    <row r="432" spans="1:45" ht="12.75">
      <c r="A432" s="343" t="s">
        <v>2188</v>
      </c>
      <c r="B432" s="343"/>
      <c r="C432" s="343"/>
      <c r="D432" s="343"/>
      <c r="E432" s="343"/>
      <c r="F432" s="343"/>
      <c r="G432" s="343"/>
      <c r="H432" s="343"/>
      <c r="I432" s="343"/>
      <c r="J432" s="343"/>
      <c r="K432" s="343"/>
      <c r="L432" s="343"/>
      <c r="M432" s="343"/>
      <c r="N432" s="343"/>
      <c r="O432" s="343"/>
      <c r="P432" s="343"/>
      <c r="Q432" s="343"/>
      <c r="R432" s="343"/>
      <c r="S432" s="343"/>
      <c r="T432" s="415" t="s">
        <v>841</v>
      </c>
      <c r="U432" s="415"/>
      <c r="V432" s="415"/>
      <c r="W432" s="415"/>
      <c r="X432" s="415"/>
      <c r="Y432" s="415"/>
      <c r="Z432" s="352" t="s">
        <v>2189</v>
      </c>
      <c r="AA432" s="352"/>
      <c r="AB432" s="352"/>
      <c r="AC432" s="352"/>
      <c r="AD432" s="352"/>
      <c r="AE432" s="352"/>
      <c r="AF432" s="352" t="s">
        <v>2191</v>
      </c>
      <c r="AG432" s="352"/>
      <c r="AH432" s="352"/>
      <c r="AI432" s="352"/>
      <c r="AJ432" s="368" t="s">
        <v>2192</v>
      </c>
      <c r="AK432" s="368"/>
      <c r="AL432" s="368"/>
      <c r="AM432" s="368"/>
      <c r="AN432" s="368"/>
      <c r="AO432" s="368"/>
      <c r="AP432" s="352"/>
      <c r="AQ432" s="352"/>
      <c r="AR432" s="352"/>
      <c r="AS432" s="352"/>
    </row>
    <row r="433" spans="1:45" ht="12.75">
      <c r="A433" s="343" t="s">
        <v>2193</v>
      </c>
      <c r="B433" s="343"/>
      <c r="C433" s="343"/>
      <c r="D433" s="343"/>
      <c r="E433" s="343"/>
      <c r="F433" s="343"/>
      <c r="G433" s="343"/>
      <c r="H433" s="343"/>
      <c r="I433" s="343"/>
      <c r="J433" s="343"/>
      <c r="K433" s="343"/>
      <c r="L433" s="343"/>
      <c r="M433" s="343"/>
      <c r="N433" s="343"/>
      <c r="O433" s="343"/>
      <c r="P433" s="343"/>
      <c r="Q433" s="343"/>
      <c r="R433" s="343"/>
      <c r="S433" s="343"/>
      <c r="T433" s="415" t="s">
        <v>842</v>
      </c>
      <c r="U433" s="415"/>
      <c r="V433" s="415"/>
      <c r="W433" s="415"/>
      <c r="X433" s="415"/>
      <c r="Y433" s="415"/>
      <c r="Z433" s="352" t="s">
        <v>2194</v>
      </c>
      <c r="AA433" s="352"/>
      <c r="AB433" s="352"/>
      <c r="AC433" s="352"/>
      <c r="AD433" s="352"/>
      <c r="AE433" s="352"/>
      <c r="AF433" s="352" t="s">
        <v>2196</v>
      </c>
      <c r="AG433" s="352"/>
      <c r="AH433" s="352"/>
      <c r="AI433" s="352"/>
      <c r="AJ433" s="368" t="s">
        <v>2197</v>
      </c>
      <c r="AK433" s="368"/>
      <c r="AL433" s="368"/>
      <c r="AM433" s="368"/>
      <c r="AN433" s="368"/>
      <c r="AO433" s="368"/>
      <c r="AP433" s="352"/>
      <c r="AQ433" s="352"/>
      <c r="AR433" s="352"/>
      <c r="AS433" s="352"/>
    </row>
    <row r="434" spans="1:45" ht="12.75">
      <c r="A434" s="343" t="s">
        <v>2198</v>
      </c>
      <c r="B434" s="343"/>
      <c r="C434" s="343"/>
      <c r="D434" s="343"/>
      <c r="E434" s="343"/>
      <c r="F434" s="343"/>
      <c r="G434" s="343"/>
      <c r="H434" s="343"/>
      <c r="I434" s="343"/>
      <c r="J434" s="343"/>
      <c r="K434" s="343"/>
      <c r="L434" s="343"/>
      <c r="M434" s="343"/>
      <c r="N434" s="343"/>
      <c r="O434" s="343"/>
      <c r="P434" s="343"/>
      <c r="Q434" s="343"/>
      <c r="R434" s="343"/>
      <c r="S434" s="343"/>
      <c r="T434" s="415" t="s">
        <v>843</v>
      </c>
      <c r="U434" s="415"/>
      <c r="V434" s="415"/>
      <c r="W434" s="415"/>
      <c r="X434" s="415"/>
      <c r="Y434" s="415"/>
      <c r="Z434" s="352" t="s">
        <v>2199</v>
      </c>
      <c r="AA434" s="352"/>
      <c r="AB434" s="352"/>
      <c r="AC434" s="352"/>
      <c r="AD434" s="352"/>
      <c r="AE434" s="352"/>
      <c r="AF434" s="352" t="s">
        <v>2200</v>
      </c>
      <c r="AG434" s="352"/>
      <c r="AH434" s="352"/>
      <c r="AI434" s="352"/>
      <c r="AJ434" s="368" t="s">
        <v>2137</v>
      </c>
      <c r="AK434" s="368"/>
      <c r="AL434" s="368"/>
      <c r="AM434" s="368"/>
      <c r="AN434" s="368"/>
      <c r="AO434" s="368"/>
      <c r="AP434" s="352"/>
      <c r="AQ434" s="352"/>
      <c r="AR434" s="352"/>
      <c r="AS434" s="352"/>
    </row>
    <row r="435" spans="1:45" ht="12.75">
      <c r="A435" s="343" t="s">
        <v>2201</v>
      </c>
      <c r="B435" s="343"/>
      <c r="C435" s="343"/>
      <c r="D435" s="343"/>
      <c r="E435" s="343"/>
      <c r="F435" s="343"/>
      <c r="G435" s="343"/>
      <c r="H435" s="343"/>
      <c r="I435" s="343"/>
      <c r="J435" s="343"/>
      <c r="K435" s="343"/>
      <c r="L435" s="343"/>
      <c r="M435" s="343"/>
      <c r="N435" s="343"/>
      <c r="O435" s="343"/>
      <c r="P435" s="343"/>
      <c r="Q435" s="343"/>
      <c r="R435" s="343"/>
      <c r="S435" s="343"/>
      <c r="T435" s="415" t="s">
        <v>844</v>
      </c>
      <c r="U435" s="415"/>
      <c r="V435" s="415"/>
      <c r="W435" s="415"/>
      <c r="X435" s="415"/>
      <c r="Y435" s="415"/>
      <c r="Z435" s="352"/>
      <c r="AA435" s="352"/>
      <c r="AB435" s="352"/>
      <c r="AC435" s="352"/>
      <c r="AD435" s="352"/>
      <c r="AE435" s="352"/>
      <c r="AF435" s="352"/>
      <c r="AG435" s="352"/>
      <c r="AH435" s="352"/>
      <c r="AI435" s="352"/>
      <c r="AJ435" s="352"/>
      <c r="AK435" s="352"/>
      <c r="AL435" s="352"/>
      <c r="AM435" s="352"/>
      <c r="AN435" s="352"/>
      <c r="AO435" s="352"/>
      <c r="AP435" s="352"/>
      <c r="AQ435" s="352"/>
      <c r="AR435" s="352"/>
      <c r="AS435" s="352"/>
    </row>
    <row r="436" spans="1:45" ht="13.5" thickBot="1">
      <c r="A436" s="345" t="s">
        <v>2202</v>
      </c>
      <c r="B436" s="345"/>
      <c r="C436" s="345"/>
      <c r="D436" s="345"/>
      <c r="E436" s="345"/>
      <c r="F436" s="345"/>
      <c r="G436" s="345"/>
      <c r="H436" s="345"/>
      <c r="I436" s="345"/>
      <c r="J436" s="345"/>
      <c r="K436" s="345"/>
      <c r="L436" s="345"/>
      <c r="M436" s="345"/>
      <c r="N436" s="345"/>
      <c r="O436" s="345"/>
      <c r="P436" s="345"/>
      <c r="Q436" s="345"/>
      <c r="R436" s="345"/>
      <c r="S436" s="345"/>
      <c r="T436" s="417" t="s">
        <v>845</v>
      </c>
      <c r="U436" s="417"/>
      <c r="V436" s="417"/>
      <c r="W436" s="417"/>
      <c r="X436" s="417"/>
      <c r="Y436" s="417"/>
      <c r="Z436" s="353"/>
      <c r="AA436" s="353"/>
      <c r="AB436" s="353"/>
      <c r="AC436" s="353"/>
      <c r="AD436" s="353"/>
      <c r="AE436" s="353"/>
      <c r="AF436" s="353"/>
      <c r="AG436" s="353"/>
      <c r="AH436" s="353"/>
      <c r="AI436" s="353"/>
      <c r="AJ436" s="353"/>
      <c r="AK436" s="353"/>
      <c r="AL436" s="353"/>
      <c r="AM436" s="353"/>
      <c r="AN436" s="353"/>
      <c r="AO436" s="353"/>
      <c r="AP436" s="352"/>
      <c r="AQ436" s="352"/>
      <c r="AR436" s="352"/>
      <c r="AS436" s="352"/>
    </row>
    <row r="437" spans="1:45" ht="13.5" thickBot="1">
      <c r="A437" s="397" t="s">
        <v>846</v>
      </c>
      <c r="B437" s="397"/>
      <c r="C437" s="397"/>
      <c r="D437" s="397"/>
      <c r="E437" s="397"/>
      <c r="F437" s="397"/>
      <c r="G437" s="397"/>
      <c r="H437" s="397"/>
      <c r="I437" s="397"/>
      <c r="J437" s="397"/>
      <c r="K437" s="397"/>
      <c r="L437" s="397"/>
      <c r="M437" s="397"/>
      <c r="N437" s="397"/>
      <c r="O437" s="397"/>
      <c r="P437" s="397"/>
      <c r="Q437" s="397"/>
      <c r="R437" s="397"/>
      <c r="S437" s="397"/>
      <c r="T437" s="397"/>
      <c r="U437" s="397"/>
      <c r="V437" s="397"/>
      <c r="W437" s="397"/>
      <c r="X437" s="397"/>
      <c r="Y437" s="397"/>
      <c r="Z437" s="397"/>
      <c r="AA437" s="397"/>
      <c r="AB437" s="397"/>
      <c r="AC437" s="397"/>
      <c r="AD437" s="397"/>
      <c r="AE437" s="397"/>
      <c r="AF437" s="397"/>
      <c r="AG437" s="397"/>
      <c r="AH437" s="397"/>
      <c r="AI437" s="397"/>
      <c r="AJ437" s="397"/>
      <c r="AK437" s="397"/>
      <c r="AL437" s="397"/>
      <c r="AM437" s="397"/>
      <c r="AN437" s="397"/>
      <c r="AO437" s="397"/>
      <c r="AP437" s="397"/>
      <c r="AQ437" s="397"/>
      <c r="AR437" s="397"/>
      <c r="AS437" s="397"/>
    </row>
    <row r="438" spans="1:45" ht="10.5" customHeight="1">
      <c r="A438" s="350" t="s">
        <v>715</v>
      </c>
      <c r="B438" s="350"/>
      <c r="C438" s="350"/>
      <c r="D438" s="350"/>
      <c r="E438" s="350"/>
      <c r="F438" s="350"/>
      <c r="G438" s="350"/>
      <c r="H438" s="350"/>
      <c r="I438" s="350"/>
      <c r="J438" s="350"/>
      <c r="K438" s="350"/>
      <c r="L438" s="350"/>
      <c r="M438" s="350"/>
      <c r="N438" s="350"/>
      <c r="O438" s="350"/>
      <c r="P438" s="350"/>
      <c r="Q438" s="350"/>
      <c r="R438" s="351" t="s">
        <v>716</v>
      </c>
      <c r="S438" s="351"/>
      <c r="T438" s="351"/>
      <c r="U438" s="351"/>
      <c r="V438" s="351"/>
      <c r="W438" s="351"/>
      <c r="X438" s="351"/>
      <c r="Y438" s="351"/>
      <c r="Z438" s="351" t="s">
        <v>1575</v>
      </c>
      <c r="AA438" s="351"/>
      <c r="AB438" s="351"/>
      <c r="AC438" s="351"/>
      <c r="AD438" s="351"/>
      <c r="AE438" s="351"/>
      <c r="AF438" s="351" t="s">
        <v>1576</v>
      </c>
      <c r="AG438" s="351"/>
      <c r="AH438" s="351"/>
      <c r="AI438" s="351"/>
      <c r="AJ438" s="351" t="s">
        <v>2331</v>
      </c>
      <c r="AK438" s="351"/>
      <c r="AL438" s="351"/>
      <c r="AM438" s="351"/>
      <c r="AN438" s="351"/>
      <c r="AO438" s="351"/>
      <c r="AP438" s="351" t="s">
        <v>2332</v>
      </c>
      <c r="AQ438" s="351"/>
      <c r="AR438" s="351" t="s">
        <v>2333</v>
      </c>
      <c r="AS438" s="351"/>
    </row>
    <row r="439" spans="1:45" ht="9.75" customHeight="1" thickBot="1">
      <c r="A439" s="398" t="s">
        <v>2291</v>
      </c>
      <c r="B439" s="398"/>
      <c r="C439" s="398"/>
      <c r="D439" s="398"/>
      <c r="E439" s="398"/>
      <c r="F439" s="398"/>
      <c r="G439" s="398"/>
      <c r="H439" s="398"/>
      <c r="I439" s="398"/>
      <c r="J439" s="398"/>
      <c r="K439" s="398"/>
      <c r="L439" s="398"/>
      <c r="M439" s="398"/>
      <c r="N439" s="398"/>
      <c r="O439" s="398"/>
      <c r="P439" s="398"/>
      <c r="Q439" s="398"/>
      <c r="R439" s="399" t="s">
        <v>717</v>
      </c>
      <c r="S439" s="399"/>
      <c r="T439" s="399"/>
      <c r="U439" s="399"/>
      <c r="V439" s="399"/>
      <c r="W439" s="399"/>
      <c r="X439" s="399"/>
      <c r="Y439" s="399"/>
      <c r="Z439" s="399" t="s">
        <v>847</v>
      </c>
      <c r="AA439" s="399"/>
      <c r="AB439" s="399"/>
      <c r="AC439" s="399"/>
      <c r="AD439" s="399"/>
      <c r="AE439" s="399"/>
      <c r="AF439" s="399" t="s">
        <v>848</v>
      </c>
      <c r="AG439" s="399"/>
      <c r="AH439" s="399"/>
      <c r="AI439" s="399"/>
      <c r="AJ439" s="399" t="s">
        <v>849</v>
      </c>
      <c r="AK439" s="399"/>
      <c r="AL439" s="399"/>
      <c r="AM439" s="399"/>
      <c r="AN439" s="399"/>
      <c r="AO439" s="399"/>
      <c r="AP439" s="399"/>
      <c r="AQ439" s="399"/>
      <c r="AR439" s="399"/>
      <c r="AS439" s="399"/>
    </row>
    <row r="440" spans="1:45" ht="4.5" customHeight="1" thickBot="1">
      <c r="A440" s="438"/>
      <c r="B440" s="438"/>
      <c r="C440" s="438"/>
      <c r="D440" s="438"/>
      <c r="E440" s="438"/>
      <c r="F440" s="438"/>
      <c r="G440" s="438"/>
      <c r="H440" s="438"/>
      <c r="I440" s="438"/>
      <c r="J440" s="438"/>
      <c r="K440" s="438"/>
      <c r="L440" s="438"/>
      <c r="M440" s="438"/>
      <c r="N440" s="438"/>
      <c r="O440" s="438"/>
      <c r="P440" s="438"/>
      <c r="Q440" s="438"/>
      <c r="R440" s="438"/>
      <c r="S440" s="438"/>
      <c r="T440" s="438"/>
      <c r="U440" s="438"/>
      <c r="V440" s="438"/>
      <c r="W440" s="438"/>
      <c r="X440" s="438"/>
      <c r="Y440" s="438"/>
      <c r="Z440" s="438"/>
      <c r="AA440" s="438"/>
      <c r="AB440" s="438"/>
      <c r="AC440" s="438"/>
      <c r="AD440" s="438"/>
      <c r="AE440" s="438"/>
      <c r="AF440" s="438"/>
      <c r="AG440" s="438"/>
      <c r="AH440" s="438"/>
      <c r="AI440" s="438"/>
      <c r="AJ440" s="438"/>
      <c r="AK440" s="438"/>
      <c r="AL440" s="438"/>
      <c r="AM440" s="438"/>
      <c r="AN440" s="438"/>
      <c r="AO440" s="438"/>
      <c r="AP440" s="438"/>
      <c r="AQ440" s="438"/>
      <c r="AR440" s="438"/>
      <c r="AS440" s="438"/>
    </row>
    <row r="441" spans="1:45" ht="12.75">
      <c r="A441" s="366" t="s">
        <v>719</v>
      </c>
      <c r="B441" s="366"/>
      <c r="C441" s="366"/>
      <c r="D441" s="366"/>
      <c r="E441" s="366"/>
      <c r="F441" s="366" t="s">
        <v>720</v>
      </c>
      <c r="G441" s="366"/>
      <c r="H441" s="366"/>
      <c r="I441" s="366"/>
      <c r="J441" s="366"/>
      <c r="K441" s="366"/>
      <c r="L441" s="366"/>
      <c r="M441" s="366"/>
      <c r="N441" s="366"/>
      <c r="O441" s="366"/>
      <c r="P441" s="366"/>
      <c r="Q441" s="366"/>
      <c r="R441" s="366"/>
      <c r="S441" s="366"/>
      <c r="T441" s="441" t="s">
        <v>850</v>
      </c>
      <c r="U441" s="441"/>
      <c r="V441" s="441"/>
      <c r="W441" s="441"/>
      <c r="X441" s="441"/>
      <c r="Y441" s="441"/>
      <c r="Z441" s="442"/>
      <c r="AA441" s="442"/>
      <c r="AB441" s="442"/>
      <c r="AC441" s="442"/>
      <c r="AD441" s="442"/>
      <c r="AE441" s="442"/>
      <c r="AF441" s="442"/>
      <c r="AG441" s="442"/>
      <c r="AH441" s="442"/>
      <c r="AI441" s="442"/>
      <c r="AJ441" s="442"/>
      <c r="AK441" s="442"/>
      <c r="AL441" s="442"/>
      <c r="AM441" s="442"/>
      <c r="AN441" s="442"/>
      <c r="AO441" s="442"/>
      <c r="AP441" s="443" t="s">
        <v>2345</v>
      </c>
      <c r="AQ441" s="443"/>
      <c r="AR441" s="443" t="s">
        <v>2345</v>
      </c>
      <c r="AS441" s="443"/>
    </row>
    <row r="442" spans="1:45" ht="10.5" customHeight="1">
      <c r="A442" s="367"/>
      <c r="B442" s="343" t="s">
        <v>664</v>
      </c>
      <c r="C442" s="343"/>
      <c r="D442" s="343"/>
      <c r="E442" s="343"/>
      <c r="F442" s="343"/>
      <c r="G442" s="343"/>
      <c r="H442" s="343"/>
      <c r="I442" s="343"/>
      <c r="J442" s="343"/>
      <c r="K442" s="343"/>
      <c r="L442" s="343"/>
      <c r="M442" s="343"/>
      <c r="N442" s="343"/>
      <c r="O442" s="343"/>
      <c r="P442" s="343"/>
      <c r="Q442" s="343"/>
      <c r="R442" s="343"/>
      <c r="S442" s="343"/>
      <c r="T442" s="343"/>
      <c r="U442" s="343"/>
      <c r="V442" s="343"/>
      <c r="W442" s="343"/>
      <c r="X442" s="343"/>
      <c r="Y442" s="343"/>
      <c r="Z442" s="343"/>
      <c r="AA442" s="343"/>
      <c r="AB442" s="343"/>
      <c r="AC442" s="343"/>
      <c r="AD442" s="343"/>
      <c r="AE442" s="343"/>
      <c r="AF442" s="343"/>
      <c r="AG442" s="343"/>
      <c r="AH442" s="343"/>
      <c r="AI442" s="343"/>
      <c r="AJ442" s="343"/>
      <c r="AK442" s="343"/>
      <c r="AL442" s="343"/>
      <c r="AM442" s="343"/>
      <c r="AN442" s="343"/>
      <c r="AO442" s="343"/>
      <c r="AP442" s="343"/>
      <c r="AQ442" s="343"/>
      <c r="AR442" s="343"/>
      <c r="AS442" s="343"/>
    </row>
    <row r="443" spans="1:45" ht="10.5" customHeight="1">
      <c r="A443" s="367"/>
      <c r="B443" s="425" t="s">
        <v>668</v>
      </c>
      <c r="C443" s="425"/>
      <c r="D443" s="425"/>
      <c r="E443" s="425"/>
      <c r="F443" s="426" t="s">
        <v>851</v>
      </c>
      <c r="G443" s="426"/>
      <c r="H443" s="426"/>
      <c r="I443" s="426"/>
      <c r="J443" s="426"/>
      <c r="K443" s="426"/>
      <c r="L443" s="426"/>
      <c r="M443" s="426"/>
      <c r="N443" s="426"/>
      <c r="O443" s="426"/>
      <c r="P443" s="426"/>
      <c r="Q443" s="426"/>
      <c r="R443" s="426"/>
      <c r="S443" s="426"/>
      <c r="T443" s="427" t="s">
        <v>852</v>
      </c>
      <c r="U443" s="427"/>
      <c r="V443" s="427"/>
      <c r="W443" s="427"/>
      <c r="X443" s="427"/>
      <c r="Y443" s="427"/>
      <c r="Z443" s="427"/>
      <c r="AA443" s="427"/>
      <c r="AB443" s="427"/>
      <c r="AC443" s="427"/>
      <c r="AD443" s="427"/>
      <c r="AE443" s="427"/>
      <c r="AF443" s="427"/>
      <c r="AG443" s="427"/>
      <c r="AH443" s="427"/>
      <c r="AI443" s="427"/>
      <c r="AJ443" s="427"/>
      <c r="AK443" s="427"/>
      <c r="AL443" s="427"/>
      <c r="AM443" s="427"/>
      <c r="AN443" s="427"/>
      <c r="AO443" s="427"/>
      <c r="AP443" s="428" t="s">
        <v>2345</v>
      </c>
      <c r="AQ443" s="428"/>
      <c r="AR443" s="428" t="s">
        <v>2345</v>
      </c>
      <c r="AS443" s="428"/>
    </row>
    <row r="444" spans="1:45" ht="10.5" customHeight="1">
      <c r="A444" s="367"/>
      <c r="B444" s="429" t="s">
        <v>686</v>
      </c>
      <c r="C444" s="429"/>
      <c r="D444" s="429"/>
      <c r="E444" s="429"/>
      <c r="F444" s="430" t="s">
        <v>1751</v>
      </c>
      <c r="G444" s="430"/>
      <c r="H444" s="430"/>
      <c r="I444" s="430"/>
      <c r="J444" s="430"/>
      <c r="K444" s="430"/>
      <c r="L444" s="430"/>
      <c r="M444" s="430"/>
      <c r="N444" s="430"/>
      <c r="O444" s="430"/>
      <c r="P444" s="430"/>
      <c r="Q444" s="430"/>
      <c r="R444" s="430"/>
      <c r="S444" s="430"/>
      <c r="T444" s="431" t="s">
        <v>853</v>
      </c>
      <c r="U444" s="431"/>
      <c r="V444" s="431"/>
      <c r="W444" s="431"/>
      <c r="X444" s="431"/>
      <c r="Y444" s="431"/>
      <c r="Z444" s="431"/>
      <c r="AA444" s="431"/>
      <c r="AB444" s="431"/>
      <c r="AC444" s="431"/>
      <c r="AD444" s="431"/>
      <c r="AE444" s="431"/>
      <c r="AF444" s="431"/>
      <c r="AG444" s="431"/>
      <c r="AH444" s="431"/>
      <c r="AI444" s="431"/>
      <c r="AJ444" s="431"/>
      <c r="AK444" s="431"/>
      <c r="AL444" s="431"/>
      <c r="AM444" s="431"/>
      <c r="AN444" s="431"/>
      <c r="AO444" s="431"/>
      <c r="AP444" s="432" t="s">
        <v>2345</v>
      </c>
      <c r="AQ444" s="432"/>
      <c r="AR444" s="432" t="s">
        <v>2345</v>
      </c>
      <c r="AS444" s="432"/>
    </row>
    <row r="445" spans="1:45" ht="10.5" customHeight="1">
      <c r="A445" s="367"/>
      <c r="B445" s="429" t="s">
        <v>693</v>
      </c>
      <c r="C445" s="429"/>
      <c r="D445" s="429"/>
      <c r="E445" s="429"/>
      <c r="F445" s="430" t="s">
        <v>854</v>
      </c>
      <c r="G445" s="430"/>
      <c r="H445" s="430"/>
      <c r="I445" s="430"/>
      <c r="J445" s="430"/>
      <c r="K445" s="430"/>
      <c r="L445" s="430"/>
      <c r="M445" s="430"/>
      <c r="N445" s="430"/>
      <c r="O445" s="430"/>
      <c r="P445" s="430"/>
      <c r="Q445" s="430"/>
      <c r="R445" s="430"/>
      <c r="S445" s="430"/>
      <c r="T445" s="431" t="s">
        <v>855</v>
      </c>
      <c r="U445" s="431"/>
      <c r="V445" s="431"/>
      <c r="W445" s="431"/>
      <c r="X445" s="431"/>
      <c r="Y445" s="431"/>
      <c r="Z445" s="431"/>
      <c r="AA445" s="431"/>
      <c r="AB445" s="431"/>
      <c r="AC445" s="431"/>
      <c r="AD445" s="431"/>
      <c r="AE445" s="431"/>
      <c r="AF445" s="431"/>
      <c r="AG445" s="431"/>
      <c r="AH445" s="431"/>
      <c r="AI445" s="431"/>
      <c r="AJ445" s="431"/>
      <c r="AK445" s="431"/>
      <c r="AL445" s="431"/>
      <c r="AM445" s="431"/>
      <c r="AN445" s="431"/>
      <c r="AO445" s="431"/>
      <c r="AP445" s="432" t="s">
        <v>2345</v>
      </c>
      <c r="AQ445" s="432"/>
      <c r="AR445" s="432" t="s">
        <v>2345</v>
      </c>
      <c r="AS445" s="432"/>
    </row>
    <row r="446" spans="1:45" ht="10.5" customHeight="1">
      <c r="A446" s="367"/>
      <c r="B446" s="429" t="s">
        <v>704</v>
      </c>
      <c r="C446" s="429"/>
      <c r="D446" s="429"/>
      <c r="E446" s="429"/>
      <c r="F446" s="430" t="s">
        <v>1779</v>
      </c>
      <c r="G446" s="430"/>
      <c r="H446" s="430"/>
      <c r="I446" s="430"/>
      <c r="J446" s="430"/>
      <c r="K446" s="430"/>
      <c r="L446" s="430"/>
      <c r="M446" s="430"/>
      <c r="N446" s="430"/>
      <c r="O446" s="430"/>
      <c r="P446" s="430"/>
      <c r="Q446" s="430"/>
      <c r="R446" s="430"/>
      <c r="S446" s="430"/>
      <c r="T446" s="431" t="s">
        <v>856</v>
      </c>
      <c r="U446" s="431"/>
      <c r="V446" s="431"/>
      <c r="W446" s="431"/>
      <c r="X446" s="431"/>
      <c r="Y446" s="431"/>
      <c r="Z446" s="431"/>
      <c r="AA446" s="431"/>
      <c r="AB446" s="431"/>
      <c r="AC446" s="431"/>
      <c r="AD446" s="431"/>
      <c r="AE446" s="431"/>
      <c r="AF446" s="431"/>
      <c r="AG446" s="431"/>
      <c r="AH446" s="431"/>
      <c r="AI446" s="431"/>
      <c r="AJ446" s="431"/>
      <c r="AK446" s="431"/>
      <c r="AL446" s="431"/>
      <c r="AM446" s="431"/>
      <c r="AN446" s="431"/>
      <c r="AO446" s="431"/>
      <c r="AP446" s="432" t="s">
        <v>2345</v>
      </c>
      <c r="AQ446" s="432"/>
      <c r="AR446" s="432" t="s">
        <v>2345</v>
      </c>
      <c r="AS446" s="432"/>
    </row>
    <row r="447" spans="1:45" ht="10.5" customHeight="1" thickBot="1">
      <c r="A447" s="367"/>
      <c r="B447" s="433" t="s">
        <v>712</v>
      </c>
      <c r="C447" s="433"/>
      <c r="D447" s="433"/>
      <c r="E447" s="433"/>
      <c r="F447" s="434" t="s">
        <v>857</v>
      </c>
      <c r="G447" s="434"/>
      <c r="H447" s="434"/>
      <c r="I447" s="434"/>
      <c r="J447" s="434"/>
      <c r="K447" s="434"/>
      <c r="L447" s="434"/>
      <c r="M447" s="434"/>
      <c r="N447" s="434"/>
      <c r="O447" s="434"/>
      <c r="P447" s="434"/>
      <c r="Q447" s="434"/>
      <c r="R447" s="434"/>
      <c r="S447" s="434"/>
      <c r="T447" s="435" t="s">
        <v>858</v>
      </c>
      <c r="U447" s="435"/>
      <c r="V447" s="435"/>
      <c r="W447" s="435"/>
      <c r="X447" s="435"/>
      <c r="Y447" s="435"/>
      <c r="Z447" s="435"/>
      <c r="AA447" s="435"/>
      <c r="AB447" s="435"/>
      <c r="AC447" s="435"/>
      <c r="AD447" s="435"/>
      <c r="AE447" s="435"/>
      <c r="AF447" s="435"/>
      <c r="AG447" s="435"/>
      <c r="AH447" s="435"/>
      <c r="AI447" s="435"/>
      <c r="AJ447" s="435"/>
      <c r="AK447" s="435"/>
      <c r="AL447" s="435"/>
      <c r="AM447" s="435"/>
      <c r="AN447" s="435"/>
      <c r="AO447" s="435"/>
      <c r="AP447" s="436" t="s">
        <v>2345</v>
      </c>
      <c r="AQ447" s="436"/>
      <c r="AR447" s="436" t="s">
        <v>2345</v>
      </c>
      <c r="AS447" s="436"/>
    </row>
    <row r="448" spans="1:45" ht="12.75">
      <c r="A448" s="366" t="s">
        <v>722</v>
      </c>
      <c r="B448" s="366"/>
      <c r="C448" s="366"/>
      <c r="D448" s="366"/>
      <c r="E448" s="366"/>
      <c r="F448" s="366" t="s">
        <v>859</v>
      </c>
      <c r="G448" s="366"/>
      <c r="H448" s="366"/>
      <c r="I448" s="366"/>
      <c r="J448" s="366"/>
      <c r="K448" s="366"/>
      <c r="L448" s="366"/>
      <c r="M448" s="366"/>
      <c r="N448" s="366"/>
      <c r="O448" s="366"/>
      <c r="P448" s="366"/>
      <c r="Q448" s="366"/>
      <c r="R448" s="366"/>
      <c r="S448" s="366"/>
      <c r="T448" s="441" t="s">
        <v>860</v>
      </c>
      <c r="U448" s="441"/>
      <c r="V448" s="441"/>
      <c r="W448" s="441"/>
      <c r="X448" s="441"/>
      <c r="Y448" s="441"/>
      <c r="Z448" s="442"/>
      <c r="AA448" s="442"/>
      <c r="AB448" s="442"/>
      <c r="AC448" s="442"/>
      <c r="AD448" s="442"/>
      <c r="AE448" s="442"/>
      <c r="AF448" s="442"/>
      <c r="AG448" s="442"/>
      <c r="AH448" s="442"/>
      <c r="AI448" s="442"/>
      <c r="AJ448" s="442"/>
      <c r="AK448" s="442"/>
      <c r="AL448" s="442"/>
      <c r="AM448" s="442"/>
      <c r="AN448" s="442"/>
      <c r="AO448" s="442"/>
      <c r="AP448" s="443" t="s">
        <v>2345</v>
      </c>
      <c r="AQ448" s="443"/>
      <c r="AR448" s="443" t="s">
        <v>2345</v>
      </c>
      <c r="AS448" s="443"/>
    </row>
    <row r="449" spans="1:45" ht="10.5" customHeight="1">
      <c r="A449" s="367"/>
      <c r="B449" s="343" t="s">
        <v>664</v>
      </c>
      <c r="C449" s="343"/>
      <c r="D449" s="343"/>
      <c r="E449" s="343"/>
      <c r="F449" s="343"/>
      <c r="G449" s="343"/>
      <c r="H449" s="343"/>
      <c r="I449" s="343"/>
      <c r="J449" s="343"/>
      <c r="K449" s="343"/>
      <c r="L449" s="343"/>
      <c r="M449" s="343"/>
      <c r="N449" s="343"/>
      <c r="O449" s="343"/>
      <c r="P449" s="343"/>
      <c r="Q449" s="343"/>
      <c r="R449" s="343"/>
      <c r="S449" s="343"/>
      <c r="T449" s="343"/>
      <c r="U449" s="343"/>
      <c r="V449" s="343"/>
      <c r="W449" s="343"/>
      <c r="X449" s="343"/>
      <c r="Y449" s="343"/>
      <c r="Z449" s="343"/>
      <c r="AA449" s="343"/>
      <c r="AB449" s="343"/>
      <c r="AC449" s="343"/>
      <c r="AD449" s="343"/>
      <c r="AE449" s="343"/>
      <c r="AF449" s="343"/>
      <c r="AG449" s="343"/>
      <c r="AH449" s="343"/>
      <c r="AI449" s="343"/>
      <c r="AJ449" s="343"/>
      <c r="AK449" s="343"/>
      <c r="AL449" s="343"/>
      <c r="AM449" s="343"/>
      <c r="AN449" s="343"/>
      <c r="AO449" s="343"/>
      <c r="AP449" s="343"/>
      <c r="AQ449" s="343"/>
      <c r="AR449" s="343"/>
      <c r="AS449" s="343"/>
    </row>
    <row r="450" spans="1:45" ht="10.5" customHeight="1">
      <c r="A450" s="367"/>
      <c r="B450" s="425" t="s">
        <v>674</v>
      </c>
      <c r="C450" s="425"/>
      <c r="D450" s="425"/>
      <c r="E450" s="425"/>
      <c r="F450" s="426" t="s">
        <v>675</v>
      </c>
      <c r="G450" s="426"/>
      <c r="H450" s="426"/>
      <c r="I450" s="426"/>
      <c r="J450" s="426"/>
      <c r="K450" s="426"/>
      <c r="L450" s="426"/>
      <c r="M450" s="426"/>
      <c r="N450" s="426"/>
      <c r="O450" s="426"/>
      <c r="P450" s="426"/>
      <c r="Q450" s="426"/>
      <c r="R450" s="426"/>
      <c r="S450" s="426"/>
      <c r="T450" s="427" t="s">
        <v>861</v>
      </c>
      <c r="U450" s="427"/>
      <c r="V450" s="427"/>
      <c r="W450" s="427"/>
      <c r="X450" s="427"/>
      <c r="Y450" s="427"/>
      <c r="Z450" s="427"/>
      <c r="AA450" s="427"/>
      <c r="AB450" s="427"/>
      <c r="AC450" s="427"/>
      <c r="AD450" s="427"/>
      <c r="AE450" s="427"/>
      <c r="AF450" s="427"/>
      <c r="AG450" s="427"/>
      <c r="AH450" s="427"/>
      <c r="AI450" s="427"/>
      <c r="AJ450" s="427"/>
      <c r="AK450" s="427"/>
      <c r="AL450" s="427"/>
      <c r="AM450" s="427"/>
      <c r="AN450" s="427"/>
      <c r="AO450" s="427"/>
      <c r="AP450" s="428" t="s">
        <v>2345</v>
      </c>
      <c r="AQ450" s="428"/>
      <c r="AR450" s="428" t="s">
        <v>2345</v>
      </c>
      <c r="AS450" s="428"/>
    </row>
    <row r="451" spans="1:45" ht="10.5" customHeight="1" thickBot="1">
      <c r="A451" s="367"/>
      <c r="B451" s="433" t="s">
        <v>683</v>
      </c>
      <c r="C451" s="433"/>
      <c r="D451" s="433"/>
      <c r="E451" s="433"/>
      <c r="F451" s="434" t="s">
        <v>862</v>
      </c>
      <c r="G451" s="434"/>
      <c r="H451" s="434"/>
      <c r="I451" s="434"/>
      <c r="J451" s="434"/>
      <c r="K451" s="434"/>
      <c r="L451" s="434"/>
      <c r="M451" s="434"/>
      <c r="N451" s="434"/>
      <c r="O451" s="434"/>
      <c r="P451" s="434"/>
      <c r="Q451" s="434"/>
      <c r="R451" s="434"/>
      <c r="S451" s="434"/>
      <c r="T451" s="435" t="s">
        <v>863</v>
      </c>
      <c r="U451" s="435"/>
      <c r="V451" s="435"/>
      <c r="W451" s="435"/>
      <c r="X451" s="435"/>
      <c r="Y451" s="435"/>
      <c r="Z451" s="435"/>
      <c r="AA451" s="435"/>
      <c r="AB451" s="435"/>
      <c r="AC451" s="435"/>
      <c r="AD451" s="435"/>
      <c r="AE451" s="435"/>
      <c r="AF451" s="435"/>
      <c r="AG451" s="435"/>
      <c r="AH451" s="435"/>
      <c r="AI451" s="435"/>
      <c r="AJ451" s="435"/>
      <c r="AK451" s="435"/>
      <c r="AL451" s="435"/>
      <c r="AM451" s="435"/>
      <c r="AN451" s="435"/>
      <c r="AO451" s="435"/>
      <c r="AP451" s="436" t="s">
        <v>2345</v>
      </c>
      <c r="AQ451" s="436"/>
      <c r="AR451" s="436" t="s">
        <v>2345</v>
      </c>
      <c r="AS451" s="436"/>
    </row>
    <row r="452" spans="1:45" ht="12.75">
      <c r="A452" s="366" t="s">
        <v>814</v>
      </c>
      <c r="B452" s="366"/>
      <c r="C452" s="366"/>
      <c r="D452" s="366"/>
      <c r="E452" s="366"/>
      <c r="F452" s="366" t="s">
        <v>815</v>
      </c>
      <c r="G452" s="366"/>
      <c r="H452" s="366"/>
      <c r="I452" s="366"/>
      <c r="J452" s="366"/>
      <c r="K452" s="366"/>
      <c r="L452" s="366"/>
      <c r="M452" s="366"/>
      <c r="N452" s="366"/>
      <c r="O452" s="366"/>
      <c r="P452" s="366"/>
      <c r="Q452" s="366"/>
      <c r="R452" s="366"/>
      <c r="S452" s="366"/>
      <c r="T452" s="441" t="s">
        <v>864</v>
      </c>
      <c r="U452" s="441"/>
      <c r="V452" s="441"/>
      <c r="W452" s="441"/>
      <c r="X452" s="441"/>
      <c r="Y452" s="441"/>
      <c r="Z452" s="442"/>
      <c r="AA452" s="442"/>
      <c r="AB452" s="442"/>
      <c r="AC452" s="442"/>
      <c r="AD452" s="442"/>
      <c r="AE452" s="442"/>
      <c r="AF452" s="442"/>
      <c r="AG452" s="442"/>
      <c r="AH452" s="442"/>
      <c r="AI452" s="442"/>
      <c r="AJ452" s="442"/>
      <c r="AK452" s="442"/>
      <c r="AL452" s="442"/>
      <c r="AM452" s="442"/>
      <c r="AN452" s="442"/>
      <c r="AO452" s="442"/>
      <c r="AP452" s="443" t="s">
        <v>2345</v>
      </c>
      <c r="AQ452" s="443"/>
      <c r="AR452" s="443" t="s">
        <v>2345</v>
      </c>
      <c r="AS452" s="443"/>
    </row>
    <row r="453" spans="1:45" ht="10.5" customHeight="1">
      <c r="A453" s="367"/>
      <c r="B453" s="343" t="s">
        <v>664</v>
      </c>
      <c r="C453" s="343"/>
      <c r="D453" s="343"/>
      <c r="E453" s="343"/>
      <c r="F453" s="343"/>
      <c r="G453" s="343"/>
      <c r="H453" s="343"/>
      <c r="I453" s="343"/>
      <c r="J453" s="343"/>
      <c r="K453" s="343"/>
      <c r="L453" s="343"/>
      <c r="M453" s="343"/>
      <c r="N453" s="343"/>
      <c r="O453" s="343"/>
      <c r="P453" s="343"/>
      <c r="Q453" s="343"/>
      <c r="R453" s="343"/>
      <c r="S453" s="343"/>
      <c r="T453" s="343"/>
      <c r="U453" s="343"/>
      <c r="V453" s="343"/>
      <c r="W453" s="343"/>
      <c r="X453" s="343"/>
      <c r="Y453" s="343"/>
      <c r="Z453" s="343"/>
      <c r="AA453" s="343"/>
      <c r="AB453" s="343"/>
      <c r="AC453" s="343"/>
      <c r="AD453" s="343"/>
      <c r="AE453" s="343"/>
      <c r="AF453" s="343"/>
      <c r="AG453" s="343"/>
      <c r="AH453" s="343"/>
      <c r="AI453" s="343"/>
      <c r="AJ453" s="343"/>
      <c r="AK453" s="343"/>
      <c r="AL453" s="343"/>
      <c r="AM453" s="343"/>
      <c r="AN453" s="343"/>
      <c r="AO453" s="343"/>
      <c r="AP453" s="343"/>
      <c r="AQ453" s="343"/>
      <c r="AR453" s="343"/>
      <c r="AS453" s="343"/>
    </row>
    <row r="454" spans="1:45" ht="10.5" customHeight="1">
      <c r="A454" s="367"/>
      <c r="B454" s="425" t="s">
        <v>747</v>
      </c>
      <c r="C454" s="425"/>
      <c r="D454" s="425"/>
      <c r="E454" s="425"/>
      <c r="F454" s="426" t="s">
        <v>748</v>
      </c>
      <c r="G454" s="426"/>
      <c r="H454" s="426"/>
      <c r="I454" s="426"/>
      <c r="J454" s="426"/>
      <c r="K454" s="426"/>
      <c r="L454" s="426"/>
      <c r="M454" s="426"/>
      <c r="N454" s="426"/>
      <c r="O454" s="426"/>
      <c r="P454" s="426"/>
      <c r="Q454" s="426"/>
      <c r="R454" s="426"/>
      <c r="S454" s="426"/>
      <c r="T454" s="427" t="s">
        <v>865</v>
      </c>
      <c r="U454" s="427"/>
      <c r="V454" s="427"/>
      <c r="W454" s="427"/>
      <c r="X454" s="427"/>
      <c r="Y454" s="427"/>
      <c r="Z454" s="427"/>
      <c r="AA454" s="427"/>
      <c r="AB454" s="427"/>
      <c r="AC454" s="427"/>
      <c r="AD454" s="427"/>
      <c r="AE454" s="427"/>
      <c r="AF454" s="427"/>
      <c r="AG454" s="427"/>
      <c r="AH454" s="427"/>
      <c r="AI454" s="427"/>
      <c r="AJ454" s="427"/>
      <c r="AK454" s="427"/>
      <c r="AL454" s="427"/>
      <c r="AM454" s="427"/>
      <c r="AN454" s="427"/>
      <c r="AO454" s="427"/>
      <c r="AP454" s="428" t="s">
        <v>2345</v>
      </c>
      <c r="AQ454" s="428"/>
      <c r="AR454" s="428" t="s">
        <v>2345</v>
      </c>
      <c r="AS454" s="428"/>
    </row>
    <row r="455" spans="1:45" ht="10.5" customHeight="1">
      <c r="A455" s="367"/>
      <c r="B455" s="429" t="s">
        <v>756</v>
      </c>
      <c r="C455" s="429"/>
      <c r="D455" s="429"/>
      <c r="E455" s="429"/>
      <c r="F455" s="430" t="s">
        <v>866</v>
      </c>
      <c r="G455" s="430"/>
      <c r="H455" s="430"/>
      <c r="I455" s="430"/>
      <c r="J455" s="430"/>
      <c r="K455" s="430"/>
      <c r="L455" s="430"/>
      <c r="M455" s="430"/>
      <c r="N455" s="430"/>
      <c r="O455" s="430"/>
      <c r="P455" s="430"/>
      <c r="Q455" s="430"/>
      <c r="R455" s="430"/>
      <c r="S455" s="430"/>
      <c r="T455" s="431" t="s">
        <v>867</v>
      </c>
      <c r="U455" s="431"/>
      <c r="V455" s="431"/>
      <c r="W455" s="431"/>
      <c r="X455" s="431"/>
      <c r="Y455" s="431"/>
      <c r="Z455" s="431"/>
      <c r="AA455" s="431"/>
      <c r="AB455" s="431"/>
      <c r="AC455" s="431"/>
      <c r="AD455" s="431"/>
      <c r="AE455" s="431"/>
      <c r="AF455" s="431"/>
      <c r="AG455" s="431"/>
      <c r="AH455" s="431"/>
      <c r="AI455" s="431"/>
      <c r="AJ455" s="431"/>
      <c r="AK455" s="431"/>
      <c r="AL455" s="431"/>
      <c r="AM455" s="431"/>
      <c r="AN455" s="431"/>
      <c r="AO455" s="431"/>
      <c r="AP455" s="432" t="s">
        <v>2345</v>
      </c>
      <c r="AQ455" s="432"/>
      <c r="AR455" s="432" t="s">
        <v>2345</v>
      </c>
      <c r="AS455" s="432"/>
    </row>
    <row r="456" spans="1:45" ht="10.5" customHeight="1">
      <c r="A456" s="367"/>
      <c r="B456" s="429" t="s">
        <v>772</v>
      </c>
      <c r="C456" s="429"/>
      <c r="D456" s="429"/>
      <c r="E456" s="429"/>
      <c r="F456" s="430" t="s">
        <v>868</v>
      </c>
      <c r="G456" s="430"/>
      <c r="H456" s="430"/>
      <c r="I456" s="430"/>
      <c r="J456" s="430"/>
      <c r="K456" s="430"/>
      <c r="L456" s="430"/>
      <c r="M456" s="430"/>
      <c r="N456" s="430"/>
      <c r="O456" s="430"/>
      <c r="P456" s="430"/>
      <c r="Q456" s="430"/>
      <c r="R456" s="430"/>
      <c r="S456" s="430"/>
      <c r="T456" s="431" t="s">
        <v>869</v>
      </c>
      <c r="U456" s="431"/>
      <c r="V456" s="431"/>
      <c r="W456" s="431"/>
      <c r="X456" s="431"/>
      <c r="Y456" s="431"/>
      <c r="Z456" s="431"/>
      <c r="AA456" s="431"/>
      <c r="AB456" s="431"/>
      <c r="AC456" s="431"/>
      <c r="AD456" s="431"/>
      <c r="AE456" s="431"/>
      <c r="AF456" s="431"/>
      <c r="AG456" s="431"/>
      <c r="AH456" s="431"/>
      <c r="AI456" s="431"/>
      <c r="AJ456" s="431"/>
      <c r="AK456" s="431"/>
      <c r="AL456" s="431"/>
      <c r="AM456" s="431"/>
      <c r="AN456" s="431"/>
      <c r="AO456" s="431"/>
      <c r="AP456" s="432" t="s">
        <v>2345</v>
      </c>
      <c r="AQ456" s="432"/>
      <c r="AR456" s="432" t="s">
        <v>2345</v>
      </c>
      <c r="AS456" s="432"/>
    </row>
    <row r="457" spans="1:45" ht="10.5" customHeight="1">
      <c r="A457" s="367"/>
      <c r="B457" s="429" t="s">
        <v>790</v>
      </c>
      <c r="C457" s="429"/>
      <c r="D457" s="429"/>
      <c r="E457" s="429"/>
      <c r="F457" s="430" t="s">
        <v>791</v>
      </c>
      <c r="G457" s="430"/>
      <c r="H457" s="430"/>
      <c r="I457" s="430"/>
      <c r="J457" s="430"/>
      <c r="K457" s="430"/>
      <c r="L457" s="430"/>
      <c r="M457" s="430"/>
      <c r="N457" s="430"/>
      <c r="O457" s="430"/>
      <c r="P457" s="430"/>
      <c r="Q457" s="430"/>
      <c r="R457" s="430"/>
      <c r="S457" s="430"/>
      <c r="T457" s="431" t="s">
        <v>870</v>
      </c>
      <c r="U457" s="431"/>
      <c r="V457" s="431"/>
      <c r="W457" s="431"/>
      <c r="X457" s="431"/>
      <c r="Y457" s="431"/>
      <c r="Z457" s="431"/>
      <c r="AA457" s="431"/>
      <c r="AB457" s="431"/>
      <c r="AC457" s="431"/>
      <c r="AD457" s="431"/>
      <c r="AE457" s="431"/>
      <c r="AF457" s="431"/>
      <c r="AG457" s="431"/>
      <c r="AH457" s="431"/>
      <c r="AI457" s="431"/>
      <c r="AJ457" s="431"/>
      <c r="AK457" s="431"/>
      <c r="AL457" s="431"/>
      <c r="AM457" s="431"/>
      <c r="AN457" s="431"/>
      <c r="AO457" s="431"/>
      <c r="AP457" s="432" t="s">
        <v>2345</v>
      </c>
      <c r="AQ457" s="432"/>
      <c r="AR457" s="432" t="s">
        <v>2345</v>
      </c>
      <c r="AS457" s="432"/>
    </row>
    <row r="458" spans="1:45" ht="10.5" customHeight="1" thickBot="1">
      <c r="A458" s="367"/>
      <c r="B458" s="433" t="s">
        <v>799</v>
      </c>
      <c r="C458" s="433"/>
      <c r="D458" s="433"/>
      <c r="E458" s="433"/>
      <c r="F458" s="434" t="s">
        <v>871</v>
      </c>
      <c r="G458" s="434"/>
      <c r="H458" s="434"/>
      <c r="I458" s="434"/>
      <c r="J458" s="434"/>
      <c r="K458" s="434"/>
      <c r="L458" s="434"/>
      <c r="M458" s="434"/>
      <c r="N458" s="434"/>
      <c r="O458" s="434"/>
      <c r="P458" s="434"/>
      <c r="Q458" s="434"/>
      <c r="R458" s="434"/>
      <c r="S458" s="434"/>
      <c r="T458" s="435" t="s">
        <v>872</v>
      </c>
      <c r="U458" s="435"/>
      <c r="V458" s="435"/>
      <c r="W458" s="435"/>
      <c r="X458" s="435"/>
      <c r="Y458" s="435"/>
      <c r="Z458" s="435"/>
      <c r="AA458" s="435"/>
      <c r="AB458" s="435"/>
      <c r="AC458" s="435"/>
      <c r="AD458" s="435"/>
      <c r="AE458" s="435"/>
      <c r="AF458" s="435"/>
      <c r="AG458" s="435"/>
      <c r="AH458" s="435"/>
      <c r="AI458" s="435"/>
      <c r="AJ458" s="435"/>
      <c r="AK458" s="435"/>
      <c r="AL458" s="435"/>
      <c r="AM458" s="435"/>
      <c r="AN458" s="435"/>
      <c r="AO458" s="435"/>
      <c r="AP458" s="436" t="s">
        <v>2345</v>
      </c>
      <c r="AQ458" s="436"/>
      <c r="AR458" s="436" t="s">
        <v>2345</v>
      </c>
      <c r="AS458" s="436"/>
    </row>
    <row r="459" spans="1:45" ht="22.5" customHeight="1">
      <c r="A459" s="366" t="s">
        <v>817</v>
      </c>
      <c r="B459" s="366"/>
      <c r="C459" s="366"/>
      <c r="D459" s="366"/>
      <c r="E459" s="366"/>
      <c r="F459" s="366" t="s">
        <v>818</v>
      </c>
      <c r="G459" s="366"/>
      <c r="H459" s="366"/>
      <c r="I459" s="366"/>
      <c r="J459" s="366"/>
      <c r="K459" s="366"/>
      <c r="L459" s="366"/>
      <c r="M459" s="366"/>
      <c r="N459" s="366"/>
      <c r="O459" s="366"/>
      <c r="P459" s="366"/>
      <c r="Q459" s="366"/>
      <c r="R459" s="366"/>
      <c r="S459" s="366"/>
      <c r="T459" s="441" t="s">
        <v>873</v>
      </c>
      <c r="U459" s="441"/>
      <c r="V459" s="441"/>
      <c r="W459" s="441"/>
      <c r="X459" s="441"/>
      <c r="Y459" s="441"/>
      <c r="Z459" s="442"/>
      <c r="AA459" s="442"/>
      <c r="AB459" s="442"/>
      <c r="AC459" s="442"/>
      <c r="AD459" s="442"/>
      <c r="AE459" s="442"/>
      <c r="AF459" s="442"/>
      <c r="AG459" s="442"/>
      <c r="AH459" s="442"/>
      <c r="AI459" s="442"/>
      <c r="AJ459" s="442"/>
      <c r="AK459" s="442"/>
      <c r="AL459" s="442"/>
      <c r="AM459" s="442"/>
      <c r="AN459" s="442"/>
      <c r="AO459" s="442"/>
      <c r="AP459" s="443" t="s">
        <v>2345</v>
      </c>
      <c r="AQ459" s="443"/>
      <c r="AR459" s="443" t="s">
        <v>2345</v>
      </c>
      <c r="AS459" s="443"/>
    </row>
    <row r="460" spans="1:45" ht="10.5" customHeight="1">
      <c r="A460" s="367"/>
      <c r="B460" s="343" t="s">
        <v>664</v>
      </c>
      <c r="C460" s="343"/>
      <c r="D460" s="343"/>
      <c r="E460" s="343"/>
      <c r="F460" s="343"/>
      <c r="G460" s="343"/>
      <c r="H460" s="343"/>
      <c r="I460" s="343"/>
      <c r="J460" s="343"/>
      <c r="K460" s="343"/>
      <c r="L460" s="343"/>
      <c r="M460" s="343"/>
      <c r="N460" s="343"/>
      <c r="O460" s="343"/>
      <c r="P460" s="343"/>
      <c r="Q460" s="343"/>
      <c r="R460" s="343"/>
      <c r="S460" s="343"/>
      <c r="T460" s="343"/>
      <c r="U460" s="343"/>
      <c r="V460" s="343"/>
      <c r="W460" s="343"/>
      <c r="X460" s="343"/>
      <c r="Y460" s="343"/>
      <c r="Z460" s="343"/>
      <c r="AA460" s="343"/>
      <c r="AB460" s="343"/>
      <c r="AC460" s="343"/>
      <c r="AD460" s="343"/>
      <c r="AE460" s="343"/>
      <c r="AF460" s="343"/>
      <c r="AG460" s="343"/>
      <c r="AH460" s="343"/>
      <c r="AI460" s="343"/>
      <c r="AJ460" s="343"/>
      <c r="AK460" s="343"/>
      <c r="AL460" s="343"/>
      <c r="AM460" s="343"/>
      <c r="AN460" s="343"/>
      <c r="AO460" s="343"/>
      <c r="AP460" s="343"/>
      <c r="AQ460" s="343"/>
      <c r="AR460" s="343"/>
      <c r="AS460" s="343"/>
    </row>
    <row r="461" spans="1:45" ht="10.5" customHeight="1">
      <c r="A461" s="367"/>
      <c r="B461" s="425" t="s">
        <v>778</v>
      </c>
      <c r="C461" s="425"/>
      <c r="D461" s="425"/>
      <c r="E461" s="425"/>
      <c r="F461" s="426" t="s">
        <v>779</v>
      </c>
      <c r="G461" s="426"/>
      <c r="H461" s="426"/>
      <c r="I461" s="426"/>
      <c r="J461" s="426"/>
      <c r="K461" s="426"/>
      <c r="L461" s="426"/>
      <c r="M461" s="426"/>
      <c r="N461" s="426"/>
      <c r="O461" s="426"/>
      <c r="P461" s="426"/>
      <c r="Q461" s="426"/>
      <c r="R461" s="426"/>
      <c r="S461" s="426"/>
      <c r="T461" s="427" t="s">
        <v>874</v>
      </c>
      <c r="U461" s="427"/>
      <c r="V461" s="427"/>
      <c r="W461" s="427"/>
      <c r="X461" s="427"/>
      <c r="Y461" s="427"/>
      <c r="Z461" s="427"/>
      <c r="AA461" s="427"/>
      <c r="AB461" s="427"/>
      <c r="AC461" s="427"/>
      <c r="AD461" s="427"/>
      <c r="AE461" s="427"/>
      <c r="AF461" s="427"/>
      <c r="AG461" s="427"/>
      <c r="AH461" s="427"/>
      <c r="AI461" s="427"/>
      <c r="AJ461" s="427"/>
      <c r="AK461" s="427"/>
      <c r="AL461" s="427"/>
      <c r="AM461" s="427"/>
      <c r="AN461" s="427"/>
      <c r="AO461" s="427"/>
      <c r="AP461" s="428" t="s">
        <v>2345</v>
      </c>
      <c r="AQ461" s="428"/>
      <c r="AR461" s="428" t="s">
        <v>2345</v>
      </c>
      <c r="AS461" s="428"/>
    </row>
    <row r="462" spans="1:45" ht="10.5" customHeight="1">
      <c r="A462" s="367"/>
      <c r="B462" s="429" t="s">
        <v>787</v>
      </c>
      <c r="C462" s="429"/>
      <c r="D462" s="429"/>
      <c r="E462" s="429"/>
      <c r="F462" s="430" t="s">
        <v>875</v>
      </c>
      <c r="G462" s="430"/>
      <c r="H462" s="430"/>
      <c r="I462" s="430"/>
      <c r="J462" s="430"/>
      <c r="K462" s="430"/>
      <c r="L462" s="430"/>
      <c r="M462" s="430"/>
      <c r="N462" s="430"/>
      <c r="O462" s="430"/>
      <c r="P462" s="430"/>
      <c r="Q462" s="430"/>
      <c r="R462" s="430"/>
      <c r="S462" s="430"/>
      <c r="T462" s="431" t="s">
        <v>876</v>
      </c>
      <c r="U462" s="431"/>
      <c r="V462" s="431"/>
      <c r="W462" s="431"/>
      <c r="X462" s="431"/>
      <c r="Y462" s="431"/>
      <c r="Z462" s="431"/>
      <c r="AA462" s="431"/>
      <c r="AB462" s="431"/>
      <c r="AC462" s="431"/>
      <c r="AD462" s="431"/>
      <c r="AE462" s="431"/>
      <c r="AF462" s="431"/>
      <c r="AG462" s="431"/>
      <c r="AH462" s="431"/>
      <c r="AI462" s="431"/>
      <c r="AJ462" s="431"/>
      <c r="AK462" s="431"/>
      <c r="AL462" s="431"/>
      <c r="AM462" s="431"/>
      <c r="AN462" s="431"/>
      <c r="AO462" s="431"/>
      <c r="AP462" s="432" t="s">
        <v>2345</v>
      </c>
      <c r="AQ462" s="432"/>
      <c r="AR462" s="432" t="s">
        <v>2345</v>
      </c>
      <c r="AS462" s="432"/>
    </row>
    <row r="463" spans="1:45" ht="10.5" customHeight="1">
      <c r="A463" s="367"/>
      <c r="B463" s="429" t="s">
        <v>802</v>
      </c>
      <c r="C463" s="429"/>
      <c r="D463" s="429"/>
      <c r="E463" s="429"/>
      <c r="F463" s="430" t="s">
        <v>803</v>
      </c>
      <c r="G463" s="430"/>
      <c r="H463" s="430"/>
      <c r="I463" s="430"/>
      <c r="J463" s="430"/>
      <c r="K463" s="430"/>
      <c r="L463" s="430"/>
      <c r="M463" s="430"/>
      <c r="N463" s="430"/>
      <c r="O463" s="430"/>
      <c r="P463" s="430"/>
      <c r="Q463" s="430"/>
      <c r="R463" s="430"/>
      <c r="S463" s="430"/>
      <c r="T463" s="431" t="s">
        <v>877</v>
      </c>
      <c r="U463" s="431"/>
      <c r="V463" s="431"/>
      <c r="W463" s="431"/>
      <c r="X463" s="431"/>
      <c r="Y463" s="431"/>
      <c r="Z463" s="431"/>
      <c r="AA463" s="431"/>
      <c r="AB463" s="431"/>
      <c r="AC463" s="431"/>
      <c r="AD463" s="431"/>
      <c r="AE463" s="431"/>
      <c r="AF463" s="431"/>
      <c r="AG463" s="431"/>
      <c r="AH463" s="431"/>
      <c r="AI463" s="431"/>
      <c r="AJ463" s="431"/>
      <c r="AK463" s="431"/>
      <c r="AL463" s="431"/>
      <c r="AM463" s="431"/>
      <c r="AN463" s="431"/>
      <c r="AO463" s="431"/>
      <c r="AP463" s="432" t="s">
        <v>2345</v>
      </c>
      <c r="AQ463" s="432"/>
      <c r="AR463" s="432" t="s">
        <v>2345</v>
      </c>
      <c r="AS463" s="432"/>
    </row>
    <row r="464" spans="1:45" ht="10.5" customHeight="1" thickBot="1">
      <c r="A464" s="367"/>
      <c r="B464" s="433" t="s">
        <v>811</v>
      </c>
      <c r="C464" s="433"/>
      <c r="D464" s="433"/>
      <c r="E464" s="433"/>
      <c r="F464" s="434" t="s">
        <v>878</v>
      </c>
      <c r="G464" s="434"/>
      <c r="H464" s="434"/>
      <c r="I464" s="434"/>
      <c r="J464" s="434"/>
      <c r="K464" s="434"/>
      <c r="L464" s="434"/>
      <c r="M464" s="434"/>
      <c r="N464" s="434"/>
      <c r="O464" s="434"/>
      <c r="P464" s="434"/>
      <c r="Q464" s="434"/>
      <c r="R464" s="434"/>
      <c r="S464" s="434"/>
      <c r="T464" s="435" t="s">
        <v>879</v>
      </c>
      <c r="U464" s="435"/>
      <c r="V464" s="435"/>
      <c r="W464" s="435"/>
      <c r="X464" s="435"/>
      <c r="Y464" s="435"/>
      <c r="Z464" s="435"/>
      <c r="AA464" s="435"/>
      <c r="AB464" s="435"/>
      <c r="AC464" s="435"/>
      <c r="AD464" s="435"/>
      <c r="AE464" s="435"/>
      <c r="AF464" s="435"/>
      <c r="AG464" s="435"/>
      <c r="AH464" s="435"/>
      <c r="AI464" s="435"/>
      <c r="AJ464" s="435"/>
      <c r="AK464" s="435"/>
      <c r="AL464" s="435"/>
      <c r="AM464" s="435"/>
      <c r="AN464" s="435"/>
      <c r="AO464" s="435"/>
      <c r="AP464" s="436" t="s">
        <v>2345</v>
      </c>
      <c r="AQ464" s="436"/>
      <c r="AR464" s="436" t="s">
        <v>2345</v>
      </c>
      <c r="AS464" s="436"/>
    </row>
    <row r="465" spans="1:45" ht="12.75">
      <c r="A465" s="366" t="s">
        <v>725</v>
      </c>
      <c r="B465" s="366"/>
      <c r="C465" s="366"/>
      <c r="D465" s="366"/>
      <c r="E465" s="366"/>
      <c r="F465" s="366" t="s">
        <v>726</v>
      </c>
      <c r="G465" s="366"/>
      <c r="H465" s="366"/>
      <c r="I465" s="366"/>
      <c r="J465" s="366"/>
      <c r="K465" s="366"/>
      <c r="L465" s="366"/>
      <c r="M465" s="366"/>
      <c r="N465" s="366"/>
      <c r="O465" s="366"/>
      <c r="P465" s="366"/>
      <c r="Q465" s="366"/>
      <c r="R465" s="366"/>
      <c r="S465" s="366"/>
      <c r="T465" s="441" t="s">
        <v>880</v>
      </c>
      <c r="U465" s="441"/>
      <c r="V465" s="441"/>
      <c r="W465" s="441"/>
      <c r="X465" s="441"/>
      <c r="Y465" s="441"/>
      <c r="Z465" s="442"/>
      <c r="AA465" s="442"/>
      <c r="AB465" s="442"/>
      <c r="AC465" s="442"/>
      <c r="AD465" s="442"/>
      <c r="AE465" s="442"/>
      <c r="AF465" s="442" t="s">
        <v>2430</v>
      </c>
      <c r="AG465" s="442"/>
      <c r="AH465" s="442"/>
      <c r="AI465" s="442"/>
      <c r="AJ465" s="442" t="s">
        <v>728</v>
      </c>
      <c r="AK465" s="442"/>
      <c r="AL465" s="442"/>
      <c r="AM465" s="442"/>
      <c r="AN465" s="442"/>
      <c r="AO465" s="442"/>
      <c r="AP465" s="443" t="s">
        <v>2345</v>
      </c>
      <c r="AQ465" s="443"/>
      <c r="AR465" s="443" t="s">
        <v>2415</v>
      </c>
      <c r="AS465" s="443"/>
    </row>
    <row r="466" spans="1:45" ht="10.5" customHeight="1">
      <c r="A466" s="367"/>
      <c r="B466" s="343" t="s">
        <v>664</v>
      </c>
      <c r="C466" s="343"/>
      <c r="D466" s="343"/>
      <c r="E466" s="343"/>
      <c r="F466" s="343"/>
      <c r="G466" s="343"/>
      <c r="H466" s="343"/>
      <c r="I466" s="343"/>
      <c r="J466" s="343"/>
      <c r="K466" s="343"/>
      <c r="L466" s="343"/>
      <c r="M466" s="343"/>
      <c r="N466" s="343"/>
      <c r="O466" s="343"/>
      <c r="P466" s="343"/>
      <c r="Q466" s="343"/>
      <c r="R466" s="343"/>
      <c r="S466" s="343"/>
      <c r="T466" s="343"/>
      <c r="U466" s="343"/>
      <c r="V466" s="343"/>
      <c r="W466" s="343"/>
      <c r="X466" s="343"/>
      <c r="Y466" s="343"/>
      <c r="Z466" s="343"/>
      <c r="AA466" s="343"/>
      <c r="AB466" s="343"/>
      <c r="AC466" s="343"/>
      <c r="AD466" s="343"/>
      <c r="AE466" s="343"/>
      <c r="AF466" s="343"/>
      <c r="AG466" s="343"/>
      <c r="AH466" s="343"/>
      <c r="AI466" s="343"/>
      <c r="AJ466" s="343"/>
      <c r="AK466" s="343"/>
      <c r="AL466" s="343"/>
      <c r="AM466" s="343"/>
      <c r="AN466" s="343"/>
      <c r="AO466" s="343"/>
      <c r="AP466" s="343"/>
      <c r="AQ466" s="343"/>
      <c r="AR466" s="343"/>
      <c r="AS466" s="343"/>
    </row>
    <row r="467" spans="1:45" ht="10.5" customHeight="1">
      <c r="A467" s="367"/>
      <c r="B467" s="425" t="s">
        <v>665</v>
      </c>
      <c r="C467" s="425"/>
      <c r="D467" s="425"/>
      <c r="E467" s="425"/>
      <c r="F467" s="426" t="s">
        <v>881</v>
      </c>
      <c r="G467" s="426"/>
      <c r="H467" s="426"/>
      <c r="I467" s="426"/>
      <c r="J467" s="426"/>
      <c r="K467" s="426"/>
      <c r="L467" s="426"/>
      <c r="M467" s="426"/>
      <c r="N467" s="426"/>
      <c r="O467" s="426"/>
      <c r="P467" s="426"/>
      <c r="Q467" s="426"/>
      <c r="R467" s="426"/>
      <c r="S467" s="426"/>
      <c r="T467" s="427" t="s">
        <v>882</v>
      </c>
      <c r="U467" s="427"/>
      <c r="V467" s="427"/>
      <c r="W467" s="427"/>
      <c r="X467" s="427"/>
      <c r="Y467" s="427"/>
      <c r="Z467" s="427"/>
      <c r="AA467" s="427"/>
      <c r="AB467" s="427"/>
      <c r="AC467" s="427"/>
      <c r="AD467" s="427"/>
      <c r="AE467" s="427"/>
      <c r="AF467" s="427"/>
      <c r="AG467" s="427"/>
      <c r="AH467" s="427"/>
      <c r="AI467" s="427"/>
      <c r="AJ467" s="427"/>
      <c r="AK467" s="427"/>
      <c r="AL467" s="427"/>
      <c r="AM467" s="427"/>
      <c r="AN467" s="427"/>
      <c r="AO467" s="427"/>
      <c r="AP467" s="428" t="s">
        <v>2345</v>
      </c>
      <c r="AQ467" s="428"/>
      <c r="AR467" s="428" t="s">
        <v>2345</v>
      </c>
      <c r="AS467" s="428"/>
    </row>
    <row r="468" spans="1:45" ht="10.5" customHeight="1">
      <c r="A468" s="367"/>
      <c r="B468" s="429" t="s">
        <v>668</v>
      </c>
      <c r="C468" s="429"/>
      <c r="D468" s="429"/>
      <c r="E468" s="429"/>
      <c r="F468" s="430" t="s">
        <v>851</v>
      </c>
      <c r="G468" s="430"/>
      <c r="H468" s="430"/>
      <c r="I468" s="430"/>
      <c r="J468" s="430"/>
      <c r="K468" s="430"/>
      <c r="L468" s="430"/>
      <c r="M468" s="430"/>
      <c r="N468" s="430"/>
      <c r="O468" s="430"/>
      <c r="P468" s="430"/>
      <c r="Q468" s="430"/>
      <c r="R468" s="430"/>
      <c r="S468" s="430"/>
      <c r="T468" s="431" t="s">
        <v>883</v>
      </c>
      <c r="U468" s="431"/>
      <c r="V468" s="431"/>
      <c r="W468" s="431"/>
      <c r="X468" s="431"/>
      <c r="Y468" s="431"/>
      <c r="Z468" s="431"/>
      <c r="AA468" s="431"/>
      <c r="AB468" s="431"/>
      <c r="AC468" s="431"/>
      <c r="AD468" s="431"/>
      <c r="AE468" s="431"/>
      <c r="AF468" s="431"/>
      <c r="AG468" s="431"/>
      <c r="AH468" s="431"/>
      <c r="AI468" s="431"/>
      <c r="AJ468" s="431"/>
      <c r="AK468" s="431"/>
      <c r="AL468" s="431"/>
      <c r="AM468" s="431"/>
      <c r="AN468" s="431"/>
      <c r="AO468" s="431"/>
      <c r="AP468" s="432" t="s">
        <v>2345</v>
      </c>
      <c r="AQ468" s="432"/>
      <c r="AR468" s="432" t="s">
        <v>2345</v>
      </c>
      <c r="AS468" s="432"/>
    </row>
    <row r="469" spans="1:45" ht="10.5" customHeight="1">
      <c r="A469" s="367"/>
      <c r="B469" s="429" t="s">
        <v>686</v>
      </c>
      <c r="C469" s="429"/>
      <c r="D469" s="429"/>
      <c r="E469" s="429"/>
      <c r="F469" s="430" t="s">
        <v>1751</v>
      </c>
      <c r="G469" s="430"/>
      <c r="H469" s="430"/>
      <c r="I469" s="430"/>
      <c r="J469" s="430"/>
      <c r="K469" s="430"/>
      <c r="L469" s="430"/>
      <c r="M469" s="430"/>
      <c r="N469" s="430"/>
      <c r="O469" s="430"/>
      <c r="P469" s="430"/>
      <c r="Q469" s="430"/>
      <c r="R469" s="430"/>
      <c r="S469" s="430"/>
      <c r="T469" s="431" t="s">
        <v>884</v>
      </c>
      <c r="U469" s="431"/>
      <c r="V469" s="431"/>
      <c r="W469" s="431"/>
      <c r="X469" s="431"/>
      <c r="Y469" s="431"/>
      <c r="Z469" s="431"/>
      <c r="AA469" s="431"/>
      <c r="AB469" s="431"/>
      <c r="AC469" s="431"/>
      <c r="AD469" s="431"/>
      <c r="AE469" s="431"/>
      <c r="AF469" s="431" t="s">
        <v>2430</v>
      </c>
      <c r="AG469" s="431"/>
      <c r="AH469" s="431"/>
      <c r="AI469" s="431"/>
      <c r="AJ469" s="431" t="s">
        <v>728</v>
      </c>
      <c r="AK469" s="431"/>
      <c r="AL469" s="431"/>
      <c r="AM469" s="431"/>
      <c r="AN469" s="431"/>
      <c r="AO469" s="431"/>
      <c r="AP469" s="432" t="s">
        <v>2345</v>
      </c>
      <c r="AQ469" s="432"/>
      <c r="AR469" s="432" t="s">
        <v>2415</v>
      </c>
      <c r="AS469" s="432"/>
    </row>
    <row r="470" spans="1:45" ht="10.5" customHeight="1">
      <c r="A470" s="367"/>
      <c r="B470" s="429" t="s">
        <v>688</v>
      </c>
      <c r="C470" s="429"/>
      <c r="D470" s="429"/>
      <c r="E470" s="429"/>
      <c r="F470" s="430" t="s">
        <v>689</v>
      </c>
      <c r="G470" s="430"/>
      <c r="H470" s="430"/>
      <c r="I470" s="430"/>
      <c r="J470" s="430"/>
      <c r="K470" s="430"/>
      <c r="L470" s="430"/>
      <c r="M470" s="430"/>
      <c r="N470" s="430"/>
      <c r="O470" s="430"/>
      <c r="P470" s="430"/>
      <c r="Q470" s="430"/>
      <c r="R470" s="430"/>
      <c r="S470" s="430"/>
      <c r="T470" s="431" t="s">
        <v>885</v>
      </c>
      <c r="U470" s="431"/>
      <c r="V470" s="431"/>
      <c r="W470" s="431"/>
      <c r="X470" s="431"/>
      <c r="Y470" s="431"/>
      <c r="Z470" s="431"/>
      <c r="AA470" s="431"/>
      <c r="AB470" s="431"/>
      <c r="AC470" s="431"/>
      <c r="AD470" s="431"/>
      <c r="AE470" s="431"/>
      <c r="AF470" s="431"/>
      <c r="AG470" s="431"/>
      <c r="AH470" s="431"/>
      <c r="AI470" s="431"/>
      <c r="AJ470" s="431"/>
      <c r="AK470" s="431"/>
      <c r="AL470" s="431"/>
      <c r="AM470" s="431"/>
      <c r="AN470" s="431"/>
      <c r="AO470" s="431"/>
      <c r="AP470" s="432" t="s">
        <v>2345</v>
      </c>
      <c r="AQ470" s="432"/>
      <c r="AR470" s="432" t="s">
        <v>2345</v>
      </c>
      <c r="AS470" s="432"/>
    </row>
    <row r="471" spans="1:45" ht="10.5" customHeight="1">
      <c r="A471" s="367"/>
      <c r="B471" s="429" t="s">
        <v>693</v>
      </c>
      <c r="C471" s="429"/>
      <c r="D471" s="429"/>
      <c r="E471" s="429"/>
      <c r="F471" s="430" t="s">
        <v>886</v>
      </c>
      <c r="G471" s="430"/>
      <c r="H471" s="430"/>
      <c r="I471" s="430"/>
      <c r="J471" s="430"/>
      <c r="K471" s="430"/>
      <c r="L471" s="430"/>
      <c r="M471" s="430"/>
      <c r="N471" s="430"/>
      <c r="O471" s="430"/>
      <c r="P471" s="430"/>
      <c r="Q471" s="430"/>
      <c r="R471" s="430"/>
      <c r="S471" s="430"/>
      <c r="T471" s="431" t="s">
        <v>887</v>
      </c>
      <c r="U471" s="431"/>
      <c r="V471" s="431"/>
      <c r="W471" s="431"/>
      <c r="X471" s="431"/>
      <c r="Y471" s="431"/>
      <c r="Z471" s="431"/>
      <c r="AA471" s="431"/>
      <c r="AB471" s="431"/>
      <c r="AC471" s="431"/>
      <c r="AD471" s="431"/>
      <c r="AE471" s="431"/>
      <c r="AF471" s="431"/>
      <c r="AG471" s="431"/>
      <c r="AH471" s="431"/>
      <c r="AI471" s="431"/>
      <c r="AJ471" s="431"/>
      <c r="AK471" s="431"/>
      <c r="AL471" s="431"/>
      <c r="AM471" s="431"/>
      <c r="AN471" s="431"/>
      <c r="AO471" s="431"/>
      <c r="AP471" s="432" t="s">
        <v>2345</v>
      </c>
      <c r="AQ471" s="432"/>
      <c r="AR471" s="432" t="s">
        <v>2345</v>
      </c>
      <c r="AS471" s="432"/>
    </row>
    <row r="472" spans="1:45" ht="10.5" customHeight="1">
      <c r="A472" s="367"/>
      <c r="B472" s="429" t="s">
        <v>704</v>
      </c>
      <c r="C472" s="429"/>
      <c r="D472" s="429"/>
      <c r="E472" s="429"/>
      <c r="F472" s="430" t="s">
        <v>1779</v>
      </c>
      <c r="G472" s="430"/>
      <c r="H472" s="430"/>
      <c r="I472" s="430"/>
      <c r="J472" s="430"/>
      <c r="K472" s="430"/>
      <c r="L472" s="430"/>
      <c r="M472" s="430"/>
      <c r="N472" s="430"/>
      <c r="O472" s="430"/>
      <c r="P472" s="430"/>
      <c r="Q472" s="430"/>
      <c r="R472" s="430"/>
      <c r="S472" s="430"/>
      <c r="T472" s="431" t="s">
        <v>888</v>
      </c>
      <c r="U472" s="431"/>
      <c r="V472" s="431"/>
      <c r="W472" s="431"/>
      <c r="X472" s="431"/>
      <c r="Y472" s="431"/>
      <c r="Z472" s="431"/>
      <c r="AA472" s="431"/>
      <c r="AB472" s="431"/>
      <c r="AC472" s="431"/>
      <c r="AD472" s="431"/>
      <c r="AE472" s="431"/>
      <c r="AF472" s="431"/>
      <c r="AG472" s="431"/>
      <c r="AH472" s="431"/>
      <c r="AI472" s="431"/>
      <c r="AJ472" s="431"/>
      <c r="AK472" s="431"/>
      <c r="AL472" s="431"/>
      <c r="AM472" s="431"/>
      <c r="AN472" s="431"/>
      <c r="AO472" s="431"/>
      <c r="AP472" s="432" t="s">
        <v>2345</v>
      </c>
      <c r="AQ472" s="432"/>
      <c r="AR472" s="432" t="s">
        <v>2345</v>
      </c>
      <c r="AS472" s="432"/>
    </row>
    <row r="473" spans="1:45" ht="10.5" customHeight="1">
      <c r="A473" s="367"/>
      <c r="B473" s="429" t="s">
        <v>706</v>
      </c>
      <c r="C473" s="429"/>
      <c r="D473" s="429"/>
      <c r="E473" s="429"/>
      <c r="F473" s="430" t="s">
        <v>707</v>
      </c>
      <c r="G473" s="430"/>
      <c r="H473" s="430"/>
      <c r="I473" s="430"/>
      <c r="J473" s="430"/>
      <c r="K473" s="430"/>
      <c r="L473" s="430"/>
      <c r="M473" s="430"/>
      <c r="N473" s="430"/>
      <c r="O473" s="430"/>
      <c r="P473" s="430"/>
      <c r="Q473" s="430"/>
      <c r="R473" s="430"/>
      <c r="S473" s="430"/>
      <c r="T473" s="431" t="s">
        <v>889</v>
      </c>
      <c r="U473" s="431"/>
      <c r="V473" s="431"/>
      <c r="W473" s="431"/>
      <c r="X473" s="431"/>
      <c r="Y473" s="431"/>
      <c r="Z473" s="431"/>
      <c r="AA473" s="431"/>
      <c r="AB473" s="431"/>
      <c r="AC473" s="431"/>
      <c r="AD473" s="431"/>
      <c r="AE473" s="431"/>
      <c r="AF473" s="431"/>
      <c r="AG473" s="431"/>
      <c r="AH473" s="431"/>
      <c r="AI473" s="431"/>
      <c r="AJ473" s="431"/>
      <c r="AK473" s="431"/>
      <c r="AL473" s="431"/>
      <c r="AM473" s="431"/>
      <c r="AN473" s="431"/>
      <c r="AO473" s="431"/>
      <c r="AP473" s="432" t="s">
        <v>2345</v>
      </c>
      <c r="AQ473" s="432"/>
      <c r="AR473" s="432" t="s">
        <v>2345</v>
      </c>
      <c r="AS473" s="432"/>
    </row>
    <row r="474" spans="1:45" ht="10.5" customHeight="1" thickBot="1">
      <c r="A474" s="367"/>
      <c r="B474" s="433" t="s">
        <v>712</v>
      </c>
      <c r="C474" s="433"/>
      <c r="D474" s="433"/>
      <c r="E474" s="433"/>
      <c r="F474" s="434" t="s">
        <v>890</v>
      </c>
      <c r="G474" s="434"/>
      <c r="H474" s="434"/>
      <c r="I474" s="434"/>
      <c r="J474" s="434"/>
      <c r="K474" s="434"/>
      <c r="L474" s="434"/>
      <c r="M474" s="434"/>
      <c r="N474" s="434"/>
      <c r="O474" s="434"/>
      <c r="P474" s="434"/>
      <c r="Q474" s="434"/>
      <c r="R474" s="434"/>
      <c r="S474" s="434"/>
      <c r="T474" s="435" t="s">
        <v>891</v>
      </c>
      <c r="U474" s="435"/>
      <c r="V474" s="435"/>
      <c r="W474" s="435"/>
      <c r="X474" s="435"/>
      <c r="Y474" s="435"/>
      <c r="Z474" s="435"/>
      <c r="AA474" s="435"/>
      <c r="AB474" s="435"/>
      <c r="AC474" s="435"/>
      <c r="AD474" s="435"/>
      <c r="AE474" s="435"/>
      <c r="AF474" s="435"/>
      <c r="AG474" s="435"/>
      <c r="AH474" s="435"/>
      <c r="AI474" s="435"/>
      <c r="AJ474" s="435"/>
      <c r="AK474" s="435"/>
      <c r="AL474" s="435"/>
      <c r="AM474" s="435"/>
      <c r="AN474" s="435"/>
      <c r="AO474" s="435"/>
      <c r="AP474" s="436" t="s">
        <v>2345</v>
      </c>
      <c r="AQ474" s="436"/>
      <c r="AR474" s="436" t="s">
        <v>2345</v>
      </c>
      <c r="AS474" s="436"/>
    </row>
    <row r="475" spans="1:45" ht="12.75">
      <c r="A475" s="366" t="s">
        <v>729</v>
      </c>
      <c r="B475" s="366"/>
      <c r="C475" s="366"/>
      <c r="D475" s="366"/>
      <c r="E475" s="366"/>
      <c r="F475" s="366" t="s">
        <v>892</v>
      </c>
      <c r="G475" s="366"/>
      <c r="H475" s="366"/>
      <c r="I475" s="366"/>
      <c r="J475" s="366"/>
      <c r="K475" s="366"/>
      <c r="L475" s="366"/>
      <c r="M475" s="366"/>
      <c r="N475" s="366"/>
      <c r="O475" s="366"/>
      <c r="P475" s="366"/>
      <c r="Q475" s="366"/>
      <c r="R475" s="366"/>
      <c r="S475" s="366"/>
      <c r="T475" s="441" t="s">
        <v>893</v>
      </c>
      <c r="U475" s="441"/>
      <c r="V475" s="441"/>
      <c r="W475" s="441"/>
      <c r="X475" s="441"/>
      <c r="Y475" s="441"/>
      <c r="Z475" s="442"/>
      <c r="AA475" s="442"/>
      <c r="AB475" s="442"/>
      <c r="AC475" s="442"/>
      <c r="AD475" s="442"/>
      <c r="AE475" s="442"/>
      <c r="AF475" s="442"/>
      <c r="AG475" s="442"/>
      <c r="AH475" s="442"/>
      <c r="AI475" s="442"/>
      <c r="AJ475" s="442"/>
      <c r="AK475" s="442"/>
      <c r="AL475" s="442"/>
      <c r="AM475" s="442"/>
      <c r="AN475" s="442"/>
      <c r="AO475" s="442"/>
      <c r="AP475" s="443" t="s">
        <v>2345</v>
      </c>
      <c r="AQ475" s="443"/>
      <c r="AR475" s="443" t="s">
        <v>2345</v>
      </c>
      <c r="AS475" s="443"/>
    </row>
    <row r="476" spans="1:45" ht="12.75">
      <c r="A476" s="367"/>
      <c r="B476" s="343" t="s">
        <v>664</v>
      </c>
      <c r="C476" s="343"/>
      <c r="D476" s="343"/>
      <c r="E476" s="343"/>
      <c r="F476" s="343"/>
      <c r="G476" s="343"/>
      <c r="H476" s="343"/>
      <c r="I476" s="343"/>
      <c r="J476" s="343"/>
      <c r="K476" s="343"/>
      <c r="L476" s="343"/>
      <c r="M476" s="343"/>
      <c r="N476" s="343"/>
      <c r="O476" s="343"/>
      <c r="P476" s="343"/>
      <c r="Q476" s="343"/>
      <c r="R476" s="343"/>
      <c r="S476" s="343"/>
      <c r="T476" s="343"/>
      <c r="U476" s="343"/>
      <c r="V476" s="343"/>
      <c r="W476" s="343"/>
      <c r="X476" s="343"/>
      <c r="Y476" s="343"/>
      <c r="Z476" s="343"/>
      <c r="AA476" s="343"/>
      <c r="AB476" s="343"/>
      <c r="AC476" s="343"/>
      <c r="AD476" s="343"/>
      <c r="AE476" s="343"/>
      <c r="AF476" s="343"/>
      <c r="AG476" s="343"/>
      <c r="AH476" s="343"/>
      <c r="AI476" s="343"/>
      <c r="AJ476" s="343"/>
      <c r="AK476" s="343"/>
      <c r="AL476" s="343"/>
      <c r="AM476" s="343"/>
      <c r="AN476" s="343"/>
      <c r="AO476" s="343"/>
      <c r="AP476" s="343"/>
      <c r="AQ476" s="343"/>
      <c r="AR476" s="343"/>
      <c r="AS476" s="343"/>
    </row>
    <row r="477" spans="1:45" ht="12.75">
      <c r="A477" s="367"/>
      <c r="B477" s="425" t="s">
        <v>674</v>
      </c>
      <c r="C477" s="425"/>
      <c r="D477" s="425"/>
      <c r="E477" s="425"/>
      <c r="F477" s="426" t="s">
        <v>675</v>
      </c>
      <c r="G477" s="426"/>
      <c r="H477" s="426"/>
      <c r="I477" s="426"/>
      <c r="J477" s="426"/>
      <c r="K477" s="426"/>
      <c r="L477" s="426"/>
      <c r="M477" s="426"/>
      <c r="N477" s="426"/>
      <c r="O477" s="426"/>
      <c r="P477" s="426"/>
      <c r="Q477" s="426"/>
      <c r="R477" s="426"/>
      <c r="S477" s="426"/>
      <c r="T477" s="427" t="s">
        <v>894</v>
      </c>
      <c r="U477" s="427"/>
      <c r="V477" s="427"/>
      <c r="W477" s="427"/>
      <c r="X477" s="427"/>
      <c r="Y477" s="427"/>
      <c r="Z477" s="427"/>
      <c r="AA477" s="427"/>
      <c r="AB477" s="427"/>
      <c r="AC477" s="427"/>
      <c r="AD477" s="427"/>
      <c r="AE477" s="427"/>
      <c r="AF477" s="427"/>
      <c r="AG477" s="427"/>
      <c r="AH477" s="427"/>
      <c r="AI477" s="427"/>
      <c r="AJ477" s="427"/>
      <c r="AK477" s="427"/>
      <c r="AL477" s="427"/>
      <c r="AM477" s="427"/>
      <c r="AN477" s="427"/>
      <c r="AO477" s="427"/>
      <c r="AP477" s="428" t="s">
        <v>2345</v>
      </c>
      <c r="AQ477" s="428"/>
      <c r="AR477" s="428" t="s">
        <v>2345</v>
      </c>
      <c r="AS477" s="428"/>
    </row>
    <row r="478" spans="1:45" ht="12.75">
      <c r="A478" s="367"/>
      <c r="B478" s="429" t="s">
        <v>677</v>
      </c>
      <c r="C478" s="429"/>
      <c r="D478" s="429"/>
      <c r="E478" s="429"/>
      <c r="F478" s="430" t="s">
        <v>678</v>
      </c>
      <c r="G478" s="430"/>
      <c r="H478" s="430"/>
      <c r="I478" s="430"/>
      <c r="J478" s="430"/>
      <c r="K478" s="430"/>
      <c r="L478" s="430"/>
      <c r="M478" s="430"/>
      <c r="N478" s="430"/>
      <c r="O478" s="430"/>
      <c r="P478" s="430"/>
      <c r="Q478" s="430"/>
      <c r="R478" s="430"/>
      <c r="S478" s="430"/>
      <c r="T478" s="431" t="s">
        <v>895</v>
      </c>
      <c r="U478" s="431"/>
      <c r="V478" s="431"/>
      <c r="W478" s="431"/>
      <c r="X478" s="431"/>
      <c r="Y478" s="431"/>
      <c r="Z478" s="431"/>
      <c r="AA478" s="431"/>
      <c r="AB478" s="431"/>
      <c r="AC478" s="431"/>
      <c r="AD478" s="431"/>
      <c r="AE478" s="431"/>
      <c r="AF478" s="431"/>
      <c r="AG478" s="431"/>
      <c r="AH478" s="431"/>
      <c r="AI478" s="431"/>
      <c r="AJ478" s="431"/>
      <c r="AK478" s="431"/>
      <c r="AL478" s="431"/>
      <c r="AM478" s="431"/>
      <c r="AN478" s="431"/>
      <c r="AO478" s="431"/>
      <c r="AP478" s="432" t="s">
        <v>2345</v>
      </c>
      <c r="AQ478" s="432"/>
      <c r="AR478" s="432" t="s">
        <v>2345</v>
      </c>
      <c r="AS478" s="432"/>
    </row>
    <row r="479" spans="1:45" ht="13.5" thickBot="1">
      <c r="A479" s="367"/>
      <c r="B479" s="433" t="s">
        <v>683</v>
      </c>
      <c r="C479" s="433"/>
      <c r="D479" s="433"/>
      <c r="E479" s="433"/>
      <c r="F479" s="434" t="s">
        <v>896</v>
      </c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5" t="s">
        <v>897</v>
      </c>
      <c r="U479" s="435"/>
      <c r="V479" s="435"/>
      <c r="W479" s="435"/>
      <c r="X479" s="435"/>
      <c r="Y479" s="435"/>
      <c r="Z479" s="435"/>
      <c r="AA479" s="435"/>
      <c r="AB479" s="435"/>
      <c r="AC479" s="435"/>
      <c r="AD479" s="435"/>
      <c r="AE479" s="435"/>
      <c r="AF479" s="435"/>
      <c r="AG479" s="435"/>
      <c r="AH479" s="435"/>
      <c r="AI479" s="435"/>
      <c r="AJ479" s="435"/>
      <c r="AK479" s="435"/>
      <c r="AL479" s="435"/>
      <c r="AM479" s="435"/>
      <c r="AN479" s="435"/>
      <c r="AO479" s="435"/>
      <c r="AP479" s="436" t="s">
        <v>2345</v>
      </c>
      <c r="AQ479" s="436"/>
      <c r="AR479" s="436" t="s">
        <v>2345</v>
      </c>
      <c r="AS479" s="436"/>
    </row>
    <row r="480" spans="1:45" ht="12.75">
      <c r="A480" s="366" t="s">
        <v>820</v>
      </c>
      <c r="B480" s="366"/>
      <c r="C480" s="366"/>
      <c r="D480" s="366"/>
      <c r="E480" s="366"/>
      <c r="F480" s="366" t="s">
        <v>821</v>
      </c>
      <c r="G480" s="366"/>
      <c r="H480" s="366"/>
      <c r="I480" s="366"/>
      <c r="J480" s="366"/>
      <c r="K480" s="366"/>
      <c r="L480" s="366"/>
      <c r="M480" s="366"/>
      <c r="N480" s="366"/>
      <c r="O480" s="366"/>
      <c r="P480" s="366"/>
      <c r="Q480" s="366"/>
      <c r="R480" s="366"/>
      <c r="S480" s="366"/>
      <c r="T480" s="441" t="s">
        <v>898</v>
      </c>
      <c r="U480" s="441"/>
      <c r="V480" s="441"/>
      <c r="W480" s="441"/>
      <c r="X480" s="441"/>
      <c r="Y480" s="441"/>
      <c r="Z480" s="442"/>
      <c r="AA480" s="442"/>
      <c r="AB480" s="442"/>
      <c r="AC480" s="442"/>
      <c r="AD480" s="442"/>
      <c r="AE480" s="442"/>
      <c r="AF480" s="442"/>
      <c r="AG480" s="442"/>
      <c r="AH480" s="442"/>
      <c r="AI480" s="442"/>
      <c r="AJ480" s="442"/>
      <c r="AK480" s="442"/>
      <c r="AL480" s="442"/>
      <c r="AM480" s="442"/>
      <c r="AN480" s="442"/>
      <c r="AO480" s="442"/>
      <c r="AP480" s="443" t="s">
        <v>2345</v>
      </c>
      <c r="AQ480" s="443"/>
      <c r="AR480" s="443" t="s">
        <v>2345</v>
      </c>
      <c r="AS480" s="443"/>
    </row>
    <row r="481" spans="1:45" ht="10.5" customHeight="1" thickBot="1">
      <c r="A481" s="367"/>
      <c r="B481" s="343" t="s">
        <v>664</v>
      </c>
      <c r="C481" s="343"/>
      <c r="D481" s="343"/>
      <c r="E481" s="343"/>
      <c r="F481" s="343"/>
      <c r="G481" s="343"/>
      <c r="H481" s="343"/>
      <c r="I481" s="343"/>
      <c r="J481" s="343"/>
      <c r="K481" s="343"/>
      <c r="L481" s="343"/>
      <c r="M481" s="343"/>
      <c r="N481" s="343"/>
      <c r="O481" s="343"/>
      <c r="P481" s="343"/>
      <c r="Q481" s="343"/>
      <c r="R481" s="343"/>
      <c r="S481" s="343"/>
      <c r="T481" s="343"/>
      <c r="U481" s="343"/>
      <c r="V481" s="343"/>
      <c r="W481" s="343"/>
      <c r="X481" s="343"/>
      <c r="Y481" s="343"/>
      <c r="Z481" s="343"/>
      <c r="AA481" s="343"/>
      <c r="AB481" s="343"/>
      <c r="AC481" s="343"/>
      <c r="AD481" s="343"/>
      <c r="AE481" s="343"/>
      <c r="AF481" s="343"/>
      <c r="AG481" s="343"/>
      <c r="AH481" s="343"/>
      <c r="AI481" s="343"/>
      <c r="AJ481" s="343"/>
      <c r="AK481" s="343"/>
      <c r="AL481" s="343"/>
      <c r="AM481" s="343"/>
      <c r="AN481" s="343"/>
      <c r="AO481" s="343"/>
      <c r="AP481" s="343"/>
      <c r="AQ481" s="343"/>
      <c r="AR481" s="343"/>
      <c r="AS481" s="343"/>
    </row>
    <row r="482" spans="1:45" ht="10.5" customHeight="1">
      <c r="A482" s="350" t="s">
        <v>715</v>
      </c>
      <c r="B482" s="350"/>
      <c r="C482" s="350"/>
      <c r="D482" s="350"/>
      <c r="E482" s="350"/>
      <c r="F482" s="350"/>
      <c r="G482" s="350"/>
      <c r="H482" s="350"/>
      <c r="I482" s="350"/>
      <c r="J482" s="350"/>
      <c r="K482" s="350"/>
      <c r="L482" s="350"/>
      <c r="M482" s="350"/>
      <c r="N482" s="350"/>
      <c r="O482" s="350"/>
      <c r="P482" s="350"/>
      <c r="Q482" s="350"/>
      <c r="R482" s="351" t="s">
        <v>716</v>
      </c>
      <c r="S482" s="351"/>
      <c r="T482" s="351"/>
      <c r="U482" s="351"/>
      <c r="V482" s="351"/>
      <c r="W482" s="351"/>
      <c r="X482" s="351"/>
      <c r="Y482" s="351"/>
      <c r="Z482" s="351" t="s">
        <v>1575</v>
      </c>
      <c r="AA482" s="351"/>
      <c r="AB482" s="351"/>
      <c r="AC482" s="351"/>
      <c r="AD482" s="351"/>
      <c r="AE482" s="351"/>
      <c r="AF482" s="351" t="s">
        <v>1576</v>
      </c>
      <c r="AG482" s="351"/>
      <c r="AH482" s="351"/>
      <c r="AI482" s="351"/>
      <c r="AJ482" s="351" t="s">
        <v>2331</v>
      </c>
      <c r="AK482" s="351"/>
      <c r="AL482" s="351"/>
      <c r="AM482" s="351"/>
      <c r="AN482" s="351"/>
      <c r="AO482" s="351"/>
      <c r="AP482" s="351" t="s">
        <v>2332</v>
      </c>
      <c r="AQ482" s="351"/>
      <c r="AR482" s="351" t="s">
        <v>2333</v>
      </c>
      <c r="AS482" s="351"/>
    </row>
    <row r="483" spans="1:45" ht="9.75" customHeight="1" thickBot="1">
      <c r="A483" s="398" t="s">
        <v>2291</v>
      </c>
      <c r="B483" s="398"/>
      <c r="C483" s="398"/>
      <c r="D483" s="398"/>
      <c r="E483" s="398"/>
      <c r="F483" s="398"/>
      <c r="G483" s="398"/>
      <c r="H483" s="398"/>
      <c r="I483" s="398"/>
      <c r="J483" s="398"/>
      <c r="K483" s="398"/>
      <c r="L483" s="398"/>
      <c r="M483" s="398"/>
      <c r="N483" s="398"/>
      <c r="O483" s="398"/>
      <c r="P483" s="398"/>
      <c r="Q483" s="398"/>
      <c r="R483" s="399" t="s">
        <v>717</v>
      </c>
      <c r="S483" s="399"/>
      <c r="T483" s="399"/>
      <c r="U483" s="399"/>
      <c r="V483" s="399"/>
      <c r="W483" s="399"/>
      <c r="X483" s="399"/>
      <c r="Y483" s="399"/>
      <c r="Z483" s="399" t="s">
        <v>847</v>
      </c>
      <c r="AA483" s="399"/>
      <c r="AB483" s="399"/>
      <c r="AC483" s="399"/>
      <c r="AD483" s="399"/>
      <c r="AE483" s="399"/>
      <c r="AF483" s="399" t="s">
        <v>848</v>
      </c>
      <c r="AG483" s="399"/>
      <c r="AH483" s="399"/>
      <c r="AI483" s="399"/>
      <c r="AJ483" s="399" t="s">
        <v>849</v>
      </c>
      <c r="AK483" s="399"/>
      <c r="AL483" s="399"/>
      <c r="AM483" s="399"/>
      <c r="AN483" s="399"/>
      <c r="AO483" s="399"/>
      <c r="AP483" s="399"/>
      <c r="AQ483" s="399"/>
      <c r="AR483" s="399"/>
      <c r="AS483" s="399"/>
    </row>
    <row r="484" spans="1:45" ht="4.5" customHeight="1" thickBot="1">
      <c r="A484" s="438"/>
      <c r="B484" s="438"/>
      <c r="C484" s="438"/>
      <c r="D484" s="438"/>
      <c r="E484" s="438"/>
      <c r="F484" s="438"/>
      <c r="G484" s="438"/>
      <c r="H484" s="438"/>
      <c r="I484" s="438"/>
      <c r="J484" s="438"/>
      <c r="K484" s="438"/>
      <c r="L484" s="438"/>
      <c r="M484" s="438"/>
      <c r="N484" s="438"/>
      <c r="O484" s="438"/>
      <c r="P484" s="438"/>
      <c r="Q484" s="438"/>
      <c r="R484" s="438"/>
      <c r="S484" s="438"/>
      <c r="T484" s="438"/>
      <c r="U484" s="438"/>
      <c r="V484" s="438"/>
      <c r="W484" s="438"/>
      <c r="X484" s="438"/>
      <c r="Y484" s="438"/>
      <c r="Z484" s="438"/>
      <c r="AA484" s="438"/>
      <c r="AB484" s="438"/>
      <c r="AC484" s="438"/>
      <c r="AD484" s="438"/>
      <c r="AE484" s="438"/>
      <c r="AF484" s="438"/>
      <c r="AG484" s="438"/>
      <c r="AH484" s="438"/>
      <c r="AI484" s="438"/>
      <c r="AJ484" s="438"/>
      <c r="AK484" s="438"/>
      <c r="AL484" s="438"/>
      <c r="AM484" s="438"/>
      <c r="AN484" s="438"/>
      <c r="AO484" s="438"/>
      <c r="AP484" s="438"/>
      <c r="AQ484" s="438"/>
      <c r="AR484" s="438"/>
      <c r="AS484" s="438"/>
    </row>
    <row r="485" spans="1:45" ht="10.5" customHeight="1">
      <c r="A485" s="367"/>
      <c r="B485" s="425" t="s">
        <v>747</v>
      </c>
      <c r="C485" s="425"/>
      <c r="D485" s="425"/>
      <c r="E485" s="425"/>
      <c r="F485" s="426" t="s">
        <v>748</v>
      </c>
      <c r="G485" s="426"/>
      <c r="H485" s="426"/>
      <c r="I485" s="426"/>
      <c r="J485" s="426"/>
      <c r="K485" s="426"/>
      <c r="L485" s="426"/>
      <c r="M485" s="426"/>
      <c r="N485" s="426"/>
      <c r="O485" s="426"/>
      <c r="P485" s="426"/>
      <c r="Q485" s="426"/>
      <c r="R485" s="426"/>
      <c r="S485" s="426"/>
      <c r="T485" s="427" t="s">
        <v>899</v>
      </c>
      <c r="U485" s="427"/>
      <c r="V485" s="427"/>
      <c r="W485" s="427"/>
      <c r="X485" s="427"/>
      <c r="Y485" s="427"/>
      <c r="Z485" s="427"/>
      <c r="AA485" s="427"/>
      <c r="AB485" s="427"/>
      <c r="AC485" s="427"/>
      <c r="AD485" s="427"/>
      <c r="AE485" s="427"/>
      <c r="AF485" s="427"/>
      <c r="AG485" s="427"/>
      <c r="AH485" s="427"/>
      <c r="AI485" s="427"/>
      <c r="AJ485" s="427"/>
      <c r="AK485" s="427"/>
      <c r="AL485" s="427"/>
      <c r="AM485" s="427"/>
      <c r="AN485" s="427"/>
      <c r="AO485" s="427"/>
      <c r="AP485" s="428" t="s">
        <v>2345</v>
      </c>
      <c r="AQ485" s="428"/>
      <c r="AR485" s="428" t="s">
        <v>2345</v>
      </c>
      <c r="AS485" s="428"/>
    </row>
    <row r="486" spans="1:45" ht="10.5" customHeight="1">
      <c r="A486" s="367"/>
      <c r="B486" s="429" t="s">
        <v>750</v>
      </c>
      <c r="C486" s="429"/>
      <c r="D486" s="429"/>
      <c r="E486" s="429"/>
      <c r="F486" s="430" t="s">
        <v>751</v>
      </c>
      <c r="G486" s="430"/>
      <c r="H486" s="430"/>
      <c r="I486" s="430"/>
      <c r="J486" s="430"/>
      <c r="K486" s="430"/>
      <c r="L486" s="430"/>
      <c r="M486" s="430"/>
      <c r="N486" s="430"/>
      <c r="O486" s="430"/>
      <c r="P486" s="430"/>
      <c r="Q486" s="430"/>
      <c r="R486" s="430"/>
      <c r="S486" s="430"/>
      <c r="T486" s="431" t="s">
        <v>900</v>
      </c>
      <c r="U486" s="431"/>
      <c r="V486" s="431"/>
      <c r="W486" s="431"/>
      <c r="X486" s="431"/>
      <c r="Y486" s="431"/>
      <c r="Z486" s="431"/>
      <c r="AA486" s="431"/>
      <c r="AB486" s="431"/>
      <c r="AC486" s="431"/>
      <c r="AD486" s="431"/>
      <c r="AE486" s="431"/>
      <c r="AF486" s="431"/>
      <c r="AG486" s="431"/>
      <c r="AH486" s="431"/>
      <c r="AI486" s="431"/>
      <c r="AJ486" s="431"/>
      <c r="AK486" s="431"/>
      <c r="AL486" s="431"/>
      <c r="AM486" s="431"/>
      <c r="AN486" s="431"/>
      <c r="AO486" s="431"/>
      <c r="AP486" s="432" t="s">
        <v>2345</v>
      </c>
      <c r="AQ486" s="432"/>
      <c r="AR486" s="432" t="s">
        <v>2345</v>
      </c>
      <c r="AS486" s="432"/>
    </row>
    <row r="487" spans="1:45" ht="10.5" customHeight="1">
      <c r="A487" s="367"/>
      <c r="B487" s="429" t="s">
        <v>756</v>
      </c>
      <c r="C487" s="429"/>
      <c r="D487" s="429"/>
      <c r="E487" s="429"/>
      <c r="F487" s="430" t="s">
        <v>901</v>
      </c>
      <c r="G487" s="430"/>
      <c r="H487" s="430"/>
      <c r="I487" s="430"/>
      <c r="J487" s="430"/>
      <c r="K487" s="430"/>
      <c r="L487" s="430"/>
      <c r="M487" s="430"/>
      <c r="N487" s="430"/>
      <c r="O487" s="430"/>
      <c r="P487" s="430"/>
      <c r="Q487" s="430"/>
      <c r="R487" s="430"/>
      <c r="S487" s="430"/>
      <c r="T487" s="431" t="s">
        <v>902</v>
      </c>
      <c r="U487" s="431"/>
      <c r="V487" s="431"/>
      <c r="W487" s="431"/>
      <c r="X487" s="431"/>
      <c r="Y487" s="431"/>
      <c r="Z487" s="431"/>
      <c r="AA487" s="431"/>
      <c r="AB487" s="431"/>
      <c r="AC487" s="431"/>
      <c r="AD487" s="431"/>
      <c r="AE487" s="431"/>
      <c r="AF487" s="431"/>
      <c r="AG487" s="431"/>
      <c r="AH487" s="431"/>
      <c r="AI487" s="431"/>
      <c r="AJ487" s="431"/>
      <c r="AK487" s="431"/>
      <c r="AL487" s="431"/>
      <c r="AM487" s="431"/>
      <c r="AN487" s="431"/>
      <c r="AO487" s="431"/>
      <c r="AP487" s="432" t="s">
        <v>2345</v>
      </c>
      <c r="AQ487" s="432"/>
      <c r="AR487" s="432" t="s">
        <v>2345</v>
      </c>
      <c r="AS487" s="432"/>
    </row>
    <row r="488" spans="1:45" ht="10.5" customHeight="1">
      <c r="A488" s="367"/>
      <c r="B488" s="429" t="s">
        <v>769</v>
      </c>
      <c r="C488" s="429"/>
      <c r="D488" s="429"/>
      <c r="E488" s="429"/>
      <c r="F488" s="430" t="s">
        <v>903</v>
      </c>
      <c r="G488" s="430"/>
      <c r="H488" s="430"/>
      <c r="I488" s="430"/>
      <c r="J488" s="430"/>
      <c r="K488" s="430"/>
      <c r="L488" s="430"/>
      <c r="M488" s="430"/>
      <c r="N488" s="430"/>
      <c r="O488" s="430"/>
      <c r="P488" s="430"/>
      <c r="Q488" s="430"/>
      <c r="R488" s="430"/>
      <c r="S488" s="430"/>
      <c r="T488" s="431" t="s">
        <v>904</v>
      </c>
      <c r="U488" s="431"/>
      <c r="V488" s="431"/>
      <c r="W488" s="431"/>
      <c r="X488" s="431"/>
      <c r="Y488" s="431"/>
      <c r="Z488" s="431"/>
      <c r="AA488" s="431"/>
      <c r="AB488" s="431"/>
      <c r="AC488" s="431"/>
      <c r="AD488" s="431"/>
      <c r="AE488" s="431"/>
      <c r="AF488" s="431"/>
      <c r="AG488" s="431"/>
      <c r="AH488" s="431"/>
      <c r="AI488" s="431"/>
      <c r="AJ488" s="431"/>
      <c r="AK488" s="431"/>
      <c r="AL488" s="431"/>
      <c r="AM488" s="431"/>
      <c r="AN488" s="431"/>
      <c r="AO488" s="431"/>
      <c r="AP488" s="432" t="s">
        <v>2345</v>
      </c>
      <c r="AQ488" s="432"/>
      <c r="AR488" s="432" t="s">
        <v>2345</v>
      </c>
      <c r="AS488" s="432"/>
    </row>
    <row r="489" spans="1:45" ht="10.5" customHeight="1">
      <c r="A489" s="367"/>
      <c r="B489" s="429" t="s">
        <v>772</v>
      </c>
      <c r="C489" s="429"/>
      <c r="D489" s="429"/>
      <c r="E489" s="429"/>
      <c r="F489" s="430" t="s">
        <v>868</v>
      </c>
      <c r="G489" s="430"/>
      <c r="H489" s="430"/>
      <c r="I489" s="430"/>
      <c r="J489" s="430"/>
      <c r="K489" s="430"/>
      <c r="L489" s="430"/>
      <c r="M489" s="430"/>
      <c r="N489" s="430"/>
      <c r="O489" s="430"/>
      <c r="P489" s="430"/>
      <c r="Q489" s="430"/>
      <c r="R489" s="430"/>
      <c r="S489" s="430"/>
      <c r="T489" s="431" t="s">
        <v>905</v>
      </c>
      <c r="U489" s="431"/>
      <c r="V489" s="431"/>
      <c r="W489" s="431"/>
      <c r="X489" s="431"/>
      <c r="Y489" s="431"/>
      <c r="Z489" s="431"/>
      <c r="AA489" s="431"/>
      <c r="AB489" s="431"/>
      <c r="AC489" s="431"/>
      <c r="AD489" s="431"/>
      <c r="AE489" s="431"/>
      <c r="AF489" s="431"/>
      <c r="AG489" s="431"/>
      <c r="AH489" s="431"/>
      <c r="AI489" s="431"/>
      <c r="AJ489" s="431"/>
      <c r="AK489" s="431"/>
      <c r="AL489" s="431"/>
      <c r="AM489" s="431"/>
      <c r="AN489" s="431"/>
      <c r="AO489" s="431"/>
      <c r="AP489" s="432" t="s">
        <v>2345</v>
      </c>
      <c r="AQ489" s="432"/>
      <c r="AR489" s="432" t="s">
        <v>2345</v>
      </c>
      <c r="AS489" s="432"/>
    </row>
    <row r="490" spans="1:45" ht="10.5" customHeight="1">
      <c r="A490" s="367"/>
      <c r="B490" s="429" t="s">
        <v>790</v>
      </c>
      <c r="C490" s="429"/>
      <c r="D490" s="429"/>
      <c r="E490" s="429"/>
      <c r="F490" s="430" t="s">
        <v>791</v>
      </c>
      <c r="G490" s="430"/>
      <c r="H490" s="430"/>
      <c r="I490" s="430"/>
      <c r="J490" s="430"/>
      <c r="K490" s="430"/>
      <c r="L490" s="430"/>
      <c r="M490" s="430"/>
      <c r="N490" s="430"/>
      <c r="O490" s="430"/>
      <c r="P490" s="430"/>
      <c r="Q490" s="430"/>
      <c r="R490" s="430"/>
      <c r="S490" s="430"/>
      <c r="T490" s="431" t="s">
        <v>906</v>
      </c>
      <c r="U490" s="431"/>
      <c r="V490" s="431"/>
      <c r="W490" s="431"/>
      <c r="X490" s="431"/>
      <c r="Y490" s="431"/>
      <c r="Z490" s="431"/>
      <c r="AA490" s="431"/>
      <c r="AB490" s="431"/>
      <c r="AC490" s="431"/>
      <c r="AD490" s="431"/>
      <c r="AE490" s="431"/>
      <c r="AF490" s="431"/>
      <c r="AG490" s="431"/>
      <c r="AH490" s="431"/>
      <c r="AI490" s="431"/>
      <c r="AJ490" s="431"/>
      <c r="AK490" s="431"/>
      <c r="AL490" s="431"/>
      <c r="AM490" s="431"/>
      <c r="AN490" s="431"/>
      <c r="AO490" s="431"/>
      <c r="AP490" s="432" t="s">
        <v>2345</v>
      </c>
      <c r="AQ490" s="432"/>
      <c r="AR490" s="432" t="s">
        <v>2345</v>
      </c>
      <c r="AS490" s="432"/>
    </row>
    <row r="491" spans="1:45" ht="10.5" customHeight="1">
      <c r="A491" s="367"/>
      <c r="B491" s="429" t="s">
        <v>793</v>
      </c>
      <c r="C491" s="429"/>
      <c r="D491" s="429"/>
      <c r="E491" s="429"/>
      <c r="F491" s="430" t="s">
        <v>794</v>
      </c>
      <c r="G491" s="430"/>
      <c r="H491" s="430"/>
      <c r="I491" s="430"/>
      <c r="J491" s="430"/>
      <c r="K491" s="430"/>
      <c r="L491" s="430"/>
      <c r="M491" s="430"/>
      <c r="N491" s="430"/>
      <c r="O491" s="430"/>
      <c r="P491" s="430"/>
      <c r="Q491" s="430"/>
      <c r="R491" s="430"/>
      <c r="S491" s="430"/>
      <c r="T491" s="431" t="s">
        <v>907</v>
      </c>
      <c r="U491" s="431"/>
      <c r="V491" s="431"/>
      <c r="W491" s="431"/>
      <c r="X491" s="431"/>
      <c r="Y491" s="431"/>
      <c r="Z491" s="431"/>
      <c r="AA491" s="431"/>
      <c r="AB491" s="431"/>
      <c r="AC491" s="431"/>
      <c r="AD491" s="431"/>
      <c r="AE491" s="431"/>
      <c r="AF491" s="431"/>
      <c r="AG491" s="431"/>
      <c r="AH491" s="431"/>
      <c r="AI491" s="431"/>
      <c r="AJ491" s="431"/>
      <c r="AK491" s="431"/>
      <c r="AL491" s="431"/>
      <c r="AM491" s="431"/>
      <c r="AN491" s="431"/>
      <c r="AO491" s="431"/>
      <c r="AP491" s="432" t="s">
        <v>2345</v>
      </c>
      <c r="AQ491" s="432"/>
      <c r="AR491" s="432" t="s">
        <v>2345</v>
      </c>
      <c r="AS491" s="432"/>
    </row>
    <row r="492" spans="1:45" ht="10.5" customHeight="1" thickBot="1">
      <c r="A492" s="367"/>
      <c r="B492" s="433" t="s">
        <v>799</v>
      </c>
      <c r="C492" s="433"/>
      <c r="D492" s="433"/>
      <c r="E492" s="433"/>
      <c r="F492" s="434" t="s">
        <v>908</v>
      </c>
      <c r="G492" s="434"/>
      <c r="H492" s="434"/>
      <c r="I492" s="434"/>
      <c r="J492" s="434"/>
      <c r="K492" s="434"/>
      <c r="L492" s="434"/>
      <c r="M492" s="434"/>
      <c r="N492" s="434"/>
      <c r="O492" s="434"/>
      <c r="P492" s="434"/>
      <c r="Q492" s="434"/>
      <c r="R492" s="434"/>
      <c r="S492" s="434"/>
      <c r="T492" s="435" t="s">
        <v>909</v>
      </c>
      <c r="U492" s="435"/>
      <c r="V492" s="435"/>
      <c r="W492" s="435"/>
      <c r="X492" s="435"/>
      <c r="Y492" s="435"/>
      <c r="Z492" s="435"/>
      <c r="AA492" s="435"/>
      <c r="AB492" s="435"/>
      <c r="AC492" s="435"/>
      <c r="AD492" s="435"/>
      <c r="AE492" s="435"/>
      <c r="AF492" s="435"/>
      <c r="AG492" s="435"/>
      <c r="AH492" s="435"/>
      <c r="AI492" s="435"/>
      <c r="AJ492" s="435"/>
      <c r="AK492" s="435"/>
      <c r="AL492" s="435"/>
      <c r="AM492" s="435"/>
      <c r="AN492" s="435"/>
      <c r="AO492" s="435"/>
      <c r="AP492" s="436" t="s">
        <v>2345</v>
      </c>
      <c r="AQ492" s="436"/>
      <c r="AR492" s="436" t="s">
        <v>2345</v>
      </c>
      <c r="AS492" s="436"/>
    </row>
    <row r="493" spans="1:45" ht="12" customHeight="1">
      <c r="A493" s="366" t="s">
        <v>823</v>
      </c>
      <c r="B493" s="366"/>
      <c r="C493" s="366"/>
      <c r="D493" s="366"/>
      <c r="E493" s="366"/>
      <c r="F493" s="366" t="s">
        <v>824</v>
      </c>
      <c r="G493" s="366"/>
      <c r="H493" s="366"/>
      <c r="I493" s="366"/>
      <c r="J493" s="366"/>
      <c r="K493" s="366"/>
      <c r="L493" s="366"/>
      <c r="M493" s="366"/>
      <c r="N493" s="366"/>
      <c r="O493" s="366"/>
      <c r="P493" s="366"/>
      <c r="Q493" s="366"/>
      <c r="R493" s="366"/>
      <c r="S493" s="366"/>
      <c r="T493" s="441" t="s">
        <v>910</v>
      </c>
      <c r="U493" s="441"/>
      <c r="V493" s="441"/>
      <c r="W493" s="441"/>
      <c r="X493" s="441"/>
      <c r="Y493" s="441"/>
      <c r="Z493" s="442"/>
      <c r="AA493" s="442"/>
      <c r="AB493" s="442"/>
      <c r="AC493" s="442"/>
      <c r="AD493" s="442"/>
      <c r="AE493" s="442"/>
      <c r="AF493" s="442"/>
      <c r="AG493" s="442"/>
      <c r="AH493" s="442"/>
      <c r="AI493" s="442"/>
      <c r="AJ493" s="442"/>
      <c r="AK493" s="442"/>
      <c r="AL493" s="442"/>
      <c r="AM493" s="442"/>
      <c r="AN493" s="442"/>
      <c r="AO493" s="442"/>
      <c r="AP493" s="443" t="s">
        <v>2345</v>
      </c>
      <c r="AQ493" s="443"/>
      <c r="AR493" s="443" t="s">
        <v>2345</v>
      </c>
      <c r="AS493" s="443"/>
    </row>
    <row r="494" spans="1:45" ht="10.5" customHeight="1">
      <c r="A494" s="367"/>
      <c r="B494" s="343" t="s">
        <v>664</v>
      </c>
      <c r="C494" s="343"/>
      <c r="D494" s="343"/>
      <c r="E494" s="343"/>
      <c r="F494" s="343"/>
      <c r="G494" s="343"/>
      <c r="H494" s="343"/>
      <c r="I494" s="343"/>
      <c r="J494" s="343"/>
      <c r="K494" s="343"/>
      <c r="L494" s="343"/>
      <c r="M494" s="343"/>
      <c r="N494" s="343"/>
      <c r="O494" s="343"/>
      <c r="P494" s="343"/>
      <c r="Q494" s="343"/>
      <c r="R494" s="343"/>
      <c r="S494" s="343"/>
      <c r="T494" s="343"/>
      <c r="U494" s="343"/>
      <c r="V494" s="343"/>
      <c r="W494" s="343"/>
      <c r="X494" s="343"/>
      <c r="Y494" s="343"/>
      <c r="Z494" s="343"/>
      <c r="AA494" s="343"/>
      <c r="AB494" s="343"/>
      <c r="AC494" s="343"/>
      <c r="AD494" s="343"/>
      <c r="AE494" s="343"/>
      <c r="AF494" s="343"/>
      <c r="AG494" s="343"/>
      <c r="AH494" s="343"/>
      <c r="AI494" s="343"/>
      <c r="AJ494" s="343"/>
      <c r="AK494" s="343"/>
      <c r="AL494" s="343"/>
      <c r="AM494" s="343"/>
      <c r="AN494" s="343"/>
      <c r="AO494" s="343"/>
      <c r="AP494" s="343"/>
      <c r="AQ494" s="343"/>
      <c r="AR494" s="343"/>
      <c r="AS494" s="343"/>
    </row>
    <row r="495" spans="1:45" ht="10.5" customHeight="1">
      <c r="A495" s="367"/>
      <c r="B495" s="425" t="s">
        <v>778</v>
      </c>
      <c r="C495" s="425"/>
      <c r="D495" s="425"/>
      <c r="E495" s="425"/>
      <c r="F495" s="426" t="s">
        <v>779</v>
      </c>
      <c r="G495" s="426"/>
      <c r="H495" s="426"/>
      <c r="I495" s="426"/>
      <c r="J495" s="426"/>
      <c r="K495" s="426"/>
      <c r="L495" s="426"/>
      <c r="M495" s="426"/>
      <c r="N495" s="426"/>
      <c r="O495" s="426"/>
      <c r="P495" s="426"/>
      <c r="Q495" s="426"/>
      <c r="R495" s="426"/>
      <c r="S495" s="426"/>
      <c r="T495" s="427" t="s">
        <v>911</v>
      </c>
      <c r="U495" s="427"/>
      <c r="V495" s="427"/>
      <c r="W495" s="427"/>
      <c r="X495" s="427"/>
      <c r="Y495" s="427"/>
      <c r="Z495" s="427"/>
      <c r="AA495" s="427"/>
      <c r="AB495" s="427"/>
      <c r="AC495" s="427"/>
      <c r="AD495" s="427"/>
      <c r="AE495" s="427"/>
      <c r="AF495" s="427"/>
      <c r="AG495" s="427"/>
      <c r="AH495" s="427"/>
      <c r="AI495" s="427"/>
      <c r="AJ495" s="427"/>
      <c r="AK495" s="427"/>
      <c r="AL495" s="427"/>
      <c r="AM495" s="427"/>
      <c r="AN495" s="427"/>
      <c r="AO495" s="427"/>
      <c r="AP495" s="428" t="s">
        <v>2345</v>
      </c>
      <c r="AQ495" s="428"/>
      <c r="AR495" s="428" t="s">
        <v>2345</v>
      </c>
      <c r="AS495" s="428"/>
    </row>
    <row r="496" spans="1:45" ht="10.5" customHeight="1">
      <c r="A496" s="367"/>
      <c r="B496" s="429" t="s">
        <v>781</v>
      </c>
      <c r="C496" s="429"/>
      <c r="D496" s="429"/>
      <c r="E496" s="429"/>
      <c r="F496" s="430" t="s">
        <v>782</v>
      </c>
      <c r="G496" s="430"/>
      <c r="H496" s="430"/>
      <c r="I496" s="430"/>
      <c r="J496" s="430"/>
      <c r="K496" s="430"/>
      <c r="L496" s="430"/>
      <c r="M496" s="430"/>
      <c r="N496" s="430"/>
      <c r="O496" s="430"/>
      <c r="P496" s="430"/>
      <c r="Q496" s="430"/>
      <c r="R496" s="430"/>
      <c r="S496" s="430"/>
      <c r="T496" s="431" t="s">
        <v>912</v>
      </c>
      <c r="U496" s="431"/>
      <c r="V496" s="431"/>
      <c r="W496" s="431"/>
      <c r="X496" s="431"/>
      <c r="Y496" s="431"/>
      <c r="Z496" s="431"/>
      <c r="AA496" s="431"/>
      <c r="AB496" s="431"/>
      <c r="AC496" s="431"/>
      <c r="AD496" s="431"/>
      <c r="AE496" s="431"/>
      <c r="AF496" s="431"/>
      <c r="AG496" s="431"/>
      <c r="AH496" s="431"/>
      <c r="AI496" s="431"/>
      <c r="AJ496" s="431"/>
      <c r="AK496" s="431"/>
      <c r="AL496" s="431"/>
      <c r="AM496" s="431"/>
      <c r="AN496" s="431"/>
      <c r="AO496" s="431"/>
      <c r="AP496" s="432" t="s">
        <v>2345</v>
      </c>
      <c r="AQ496" s="432"/>
      <c r="AR496" s="432" t="s">
        <v>2345</v>
      </c>
      <c r="AS496" s="432"/>
    </row>
    <row r="497" spans="1:45" ht="10.5" customHeight="1">
      <c r="A497" s="367"/>
      <c r="B497" s="429" t="s">
        <v>787</v>
      </c>
      <c r="C497" s="429"/>
      <c r="D497" s="429"/>
      <c r="E497" s="429"/>
      <c r="F497" s="430" t="s">
        <v>913</v>
      </c>
      <c r="G497" s="430"/>
      <c r="H497" s="430"/>
      <c r="I497" s="430"/>
      <c r="J497" s="430"/>
      <c r="K497" s="430"/>
      <c r="L497" s="430"/>
      <c r="M497" s="430"/>
      <c r="N497" s="430"/>
      <c r="O497" s="430"/>
      <c r="P497" s="430"/>
      <c r="Q497" s="430"/>
      <c r="R497" s="430"/>
      <c r="S497" s="430"/>
      <c r="T497" s="431" t="s">
        <v>914</v>
      </c>
      <c r="U497" s="431"/>
      <c r="V497" s="431"/>
      <c r="W497" s="431"/>
      <c r="X497" s="431"/>
      <c r="Y497" s="431"/>
      <c r="Z497" s="431"/>
      <c r="AA497" s="431"/>
      <c r="AB497" s="431"/>
      <c r="AC497" s="431"/>
      <c r="AD497" s="431"/>
      <c r="AE497" s="431"/>
      <c r="AF497" s="431"/>
      <c r="AG497" s="431"/>
      <c r="AH497" s="431"/>
      <c r="AI497" s="431"/>
      <c r="AJ497" s="431"/>
      <c r="AK497" s="431"/>
      <c r="AL497" s="431"/>
      <c r="AM497" s="431"/>
      <c r="AN497" s="431"/>
      <c r="AO497" s="431"/>
      <c r="AP497" s="432" t="s">
        <v>2345</v>
      </c>
      <c r="AQ497" s="432"/>
      <c r="AR497" s="432" t="s">
        <v>2345</v>
      </c>
      <c r="AS497" s="432"/>
    </row>
    <row r="498" spans="1:45" ht="10.5" customHeight="1">
      <c r="A498" s="367"/>
      <c r="B498" s="429" t="s">
        <v>802</v>
      </c>
      <c r="C498" s="429"/>
      <c r="D498" s="429"/>
      <c r="E498" s="429"/>
      <c r="F498" s="430" t="s">
        <v>803</v>
      </c>
      <c r="G498" s="430"/>
      <c r="H498" s="430"/>
      <c r="I498" s="430"/>
      <c r="J498" s="430"/>
      <c r="K498" s="430"/>
      <c r="L498" s="430"/>
      <c r="M498" s="430"/>
      <c r="N498" s="430"/>
      <c r="O498" s="430"/>
      <c r="P498" s="430"/>
      <c r="Q498" s="430"/>
      <c r="R498" s="430"/>
      <c r="S498" s="430"/>
      <c r="T498" s="431" t="s">
        <v>915</v>
      </c>
      <c r="U498" s="431"/>
      <c r="V498" s="431"/>
      <c r="W498" s="431"/>
      <c r="X498" s="431"/>
      <c r="Y498" s="431"/>
      <c r="Z498" s="431"/>
      <c r="AA498" s="431"/>
      <c r="AB498" s="431"/>
      <c r="AC498" s="431"/>
      <c r="AD498" s="431"/>
      <c r="AE498" s="431"/>
      <c r="AF498" s="431"/>
      <c r="AG498" s="431"/>
      <c r="AH498" s="431"/>
      <c r="AI498" s="431"/>
      <c r="AJ498" s="431"/>
      <c r="AK498" s="431"/>
      <c r="AL498" s="431"/>
      <c r="AM498" s="431"/>
      <c r="AN498" s="431"/>
      <c r="AO498" s="431"/>
      <c r="AP498" s="432" t="s">
        <v>2345</v>
      </c>
      <c r="AQ498" s="432"/>
      <c r="AR498" s="432" t="s">
        <v>2345</v>
      </c>
      <c r="AS498" s="432"/>
    </row>
    <row r="499" spans="1:45" ht="10.5" customHeight="1">
      <c r="A499" s="367"/>
      <c r="B499" s="429" t="s">
        <v>805</v>
      </c>
      <c r="C499" s="429"/>
      <c r="D499" s="429"/>
      <c r="E499" s="429"/>
      <c r="F499" s="430" t="s">
        <v>806</v>
      </c>
      <c r="G499" s="430"/>
      <c r="H499" s="430"/>
      <c r="I499" s="430"/>
      <c r="J499" s="430"/>
      <c r="K499" s="430"/>
      <c r="L499" s="430"/>
      <c r="M499" s="430"/>
      <c r="N499" s="430"/>
      <c r="O499" s="430"/>
      <c r="P499" s="430"/>
      <c r="Q499" s="430"/>
      <c r="R499" s="430"/>
      <c r="S499" s="430"/>
      <c r="T499" s="431" t="s">
        <v>916</v>
      </c>
      <c r="U499" s="431"/>
      <c r="V499" s="431"/>
      <c r="W499" s="431"/>
      <c r="X499" s="431"/>
      <c r="Y499" s="431"/>
      <c r="Z499" s="431"/>
      <c r="AA499" s="431"/>
      <c r="AB499" s="431"/>
      <c r="AC499" s="431"/>
      <c r="AD499" s="431"/>
      <c r="AE499" s="431"/>
      <c r="AF499" s="431"/>
      <c r="AG499" s="431"/>
      <c r="AH499" s="431"/>
      <c r="AI499" s="431"/>
      <c r="AJ499" s="431"/>
      <c r="AK499" s="431"/>
      <c r="AL499" s="431"/>
      <c r="AM499" s="431"/>
      <c r="AN499" s="431"/>
      <c r="AO499" s="431"/>
      <c r="AP499" s="432" t="s">
        <v>2345</v>
      </c>
      <c r="AQ499" s="432"/>
      <c r="AR499" s="432" t="s">
        <v>2345</v>
      </c>
      <c r="AS499" s="432"/>
    </row>
    <row r="500" spans="1:45" ht="10.5" customHeight="1" thickBot="1">
      <c r="A500" s="367"/>
      <c r="B500" s="433" t="s">
        <v>811</v>
      </c>
      <c r="C500" s="433"/>
      <c r="D500" s="433"/>
      <c r="E500" s="433"/>
      <c r="F500" s="434" t="s">
        <v>878</v>
      </c>
      <c r="G500" s="434"/>
      <c r="H500" s="434"/>
      <c r="I500" s="434"/>
      <c r="J500" s="434"/>
      <c r="K500" s="434"/>
      <c r="L500" s="434"/>
      <c r="M500" s="434"/>
      <c r="N500" s="434"/>
      <c r="O500" s="434"/>
      <c r="P500" s="434"/>
      <c r="Q500" s="434"/>
      <c r="R500" s="434"/>
      <c r="S500" s="434"/>
      <c r="T500" s="435" t="s">
        <v>917</v>
      </c>
      <c r="U500" s="435"/>
      <c r="V500" s="435"/>
      <c r="W500" s="435"/>
      <c r="X500" s="435"/>
      <c r="Y500" s="435"/>
      <c r="Z500" s="435"/>
      <c r="AA500" s="435"/>
      <c r="AB500" s="435"/>
      <c r="AC500" s="435"/>
      <c r="AD500" s="435"/>
      <c r="AE500" s="435"/>
      <c r="AF500" s="435"/>
      <c r="AG500" s="435"/>
      <c r="AH500" s="435"/>
      <c r="AI500" s="435"/>
      <c r="AJ500" s="435"/>
      <c r="AK500" s="435"/>
      <c r="AL500" s="435"/>
      <c r="AM500" s="435"/>
      <c r="AN500" s="435"/>
      <c r="AO500" s="435"/>
      <c r="AP500" s="436" t="s">
        <v>2345</v>
      </c>
      <c r="AQ500" s="436"/>
      <c r="AR500" s="436" t="s">
        <v>2345</v>
      </c>
      <c r="AS500" s="436"/>
    </row>
    <row r="501" spans="1:45" ht="4.5" customHeight="1">
      <c r="A501" s="412"/>
      <c r="B501" s="412"/>
      <c r="C501" s="412"/>
      <c r="D501" s="412"/>
      <c r="E501" s="412"/>
      <c r="F501" s="412"/>
      <c r="G501" s="412"/>
      <c r="H501" s="412"/>
      <c r="I501" s="412"/>
      <c r="J501" s="412"/>
      <c r="K501" s="412"/>
      <c r="L501" s="412"/>
      <c r="M501" s="412"/>
      <c r="N501" s="412"/>
      <c r="O501" s="412"/>
      <c r="P501" s="412"/>
      <c r="Q501" s="412"/>
      <c r="R501" s="412"/>
      <c r="S501" s="412"/>
      <c r="T501" s="412"/>
      <c r="U501" s="412"/>
      <c r="V501" s="412"/>
      <c r="W501" s="412"/>
      <c r="X501" s="412"/>
      <c r="Y501" s="412"/>
      <c r="Z501" s="412"/>
      <c r="AA501" s="412"/>
      <c r="AB501" s="412"/>
      <c r="AC501" s="412"/>
      <c r="AD501" s="412"/>
      <c r="AE501" s="412"/>
      <c r="AF501" s="412"/>
      <c r="AG501" s="412"/>
      <c r="AH501" s="412"/>
      <c r="AI501" s="412"/>
      <c r="AJ501" s="412"/>
      <c r="AK501" s="412"/>
      <c r="AL501" s="412"/>
      <c r="AM501" s="412"/>
      <c r="AN501" s="412"/>
      <c r="AO501" s="412"/>
      <c r="AP501" s="412"/>
      <c r="AQ501" s="412"/>
      <c r="AR501" s="412"/>
      <c r="AS501" s="412"/>
    </row>
    <row r="502" spans="1:45" ht="13.5" thickBot="1">
      <c r="A502" s="397" t="s">
        <v>918</v>
      </c>
      <c r="B502" s="397"/>
      <c r="C502" s="397"/>
      <c r="D502" s="397"/>
      <c r="E502" s="397"/>
      <c r="F502" s="397"/>
      <c r="G502" s="397"/>
      <c r="H502" s="397"/>
      <c r="I502" s="397"/>
      <c r="J502" s="397"/>
      <c r="K502" s="397"/>
      <c r="L502" s="397"/>
      <c r="M502" s="397"/>
      <c r="N502" s="397"/>
      <c r="O502" s="397"/>
      <c r="P502" s="397"/>
      <c r="Q502" s="397"/>
      <c r="R502" s="397"/>
      <c r="S502" s="397"/>
      <c r="T502" s="397"/>
      <c r="U502" s="397"/>
      <c r="V502" s="397"/>
      <c r="W502" s="397"/>
      <c r="X502" s="397"/>
      <c r="Y502" s="397"/>
      <c r="Z502" s="397"/>
      <c r="AA502" s="397"/>
      <c r="AB502" s="397"/>
      <c r="AC502" s="397"/>
      <c r="AD502" s="397"/>
      <c r="AE502" s="397"/>
      <c r="AF502" s="397"/>
      <c r="AG502" s="397"/>
      <c r="AH502" s="397"/>
      <c r="AI502" s="397"/>
      <c r="AJ502" s="397"/>
      <c r="AK502" s="397"/>
      <c r="AL502" s="397"/>
      <c r="AM502" s="397"/>
      <c r="AN502" s="397"/>
      <c r="AO502" s="397"/>
      <c r="AP502" s="397"/>
      <c r="AQ502" s="397"/>
      <c r="AR502" s="397"/>
      <c r="AS502" s="397"/>
    </row>
    <row r="503" spans="1:45" ht="12.75">
      <c r="A503" s="350" t="s">
        <v>919</v>
      </c>
      <c r="B503" s="350"/>
      <c r="C503" s="350"/>
      <c r="D503" s="350"/>
      <c r="E503" s="350"/>
      <c r="F503" s="350" t="s">
        <v>715</v>
      </c>
      <c r="G503" s="350"/>
      <c r="H503" s="350"/>
      <c r="I503" s="350"/>
      <c r="J503" s="350"/>
      <c r="K503" s="350"/>
      <c r="L503" s="350"/>
      <c r="M503" s="350"/>
      <c r="N503" s="350"/>
      <c r="O503" s="350"/>
      <c r="P503" s="350"/>
      <c r="Q503" s="350"/>
      <c r="R503" s="350"/>
      <c r="S503" s="351"/>
      <c r="T503" s="351"/>
      <c r="U503" s="351"/>
      <c r="V503" s="351"/>
      <c r="W503" s="351"/>
      <c r="X503" s="351"/>
      <c r="Y503" s="351"/>
      <c r="Z503" s="351"/>
      <c r="AA503" s="351"/>
      <c r="AB503" s="351" t="s">
        <v>2287</v>
      </c>
      <c r="AC503" s="351"/>
      <c r="AD503" s="350" t="s">
        <v>715</v>
      </c>
      <c r="AE503" s="350"/>
      <c r="AF503" s="350"/>
      <c r="AG503" s="350"/>
      <c r="AH503" s="350"/>
      <c r="AI503" s="350"/>
      <c r="AJ503" s="350"/>
      <c r="AK503" s="350"/>
      <c r="AL503" s="350"/>
      <c r="AM503" s="351" t="s">
        <v>2331</v>
      </c>
      <c r="AN503" s="351"/>
      <c r="AO503" s="351"/>
      <c r="AP503" s="351"/>
      <c r="AQ503" s="351"/>
      <c r="AR503" s="351"/>
      <c r="AS503" s="351"/>
    </row>
    <row r="504" spans="1:45" ht="7.5" customHeight="1" thickBot="1">
      <c r="A504" s="398" t="s">
        <v>2334</v>
      </c>
      <c r="B504" s="398"/>
      <c r="C504" s="398"/>
      <c r="D504" s="398"/>
      <c r="E504" s="398"/>
      <c r="F504" s="398"/>
      <c r="G504" s="398"/>
      <c r="H504" s="398"/>
      <c r="I504" s="398"/>
      <c r="J504" s="398"/>
      <c r="K504" s="398"/>
      <c r="L504" s="398"/>
      <c r="M504" s="398"/>
      <c r="N504" s="398"/>
      <c r="O504" s="398"/>
      <c r="P504" s="398"/>
      <c r="Q504" s="398"/>
      <c r="R504" s="398"/>
      <c r="S504" s="398"/>
      <c r="T504" s="398"/>
      <c r="U504" s="398"/>
      <c r="V504" s="398"/>
      <c r="W504" s="398"/>
      <c r="X504" s="399"/>
      <c r="Y504" s="399"/>
      <c r="Z504" s="399"/>
      <c r="AA504" s="399"/>
      <c r="AB504" s="399" t="s">
        <v>2335</v>
      </c>
      <c r="AC504" s="399"/>
      <c r="AD504" s="399"/>
      <c r="AE504" s="399"/>
      <c r="AF504" s="399"/>
      <c r="AG504" s="399"/>
      <c r="AH504" s="399"/>
      <c r="AI504" s="399"/>
      <c r="AJ504" s="399"/>
      <c r="AK504" s="399"/>
      <c r="AL504" s="399"/>
      <c r="AM504" s="399"/>
      <c r="AN504" s="399"/>
      <c r="AO504" s="399"/>
      <c r="AP504" s="399"/>
      <c r="AQ504" s="399" t="s">
        <v>920</v>
      </c>
      <c r="AR504" s="399"/>
      <c r="AS504" s="399"/>
    </row>
    <row r="505" spans="1:45" ht="4.5" customHeight="1">
      <c r="A505" s="383"/>
      <c r="B505" s="383"/>
      <c r="C505" s="383"/>
      <c r="D505" s="383"/>
      <c r="E505" s="383"/>
      <c r="F505" s="383"/>
      <c r="G505" s="383"/>
      <c r="H505" s="383"/>
      <c r="I505" s="383"/>
      <c r="J505" s="383"/>
      <c r="K505" s="383"/>
      <c r="L505" s="383"/>
      <c r="M505" s="383"/>
      <c r="N505" s="383"/>
      <c r="O505" s="383"/>
      <c r="P505" s="383"/>
      <c r="Q505" s="383"/>
      <c r="R505" s="383"/>
      <c r="S505" s="383"/>
      <c r="T505" s="383"/>
      <c r="U505" s="383"/>
      <c r="V505" s="383"/>
      <c r="W505" s="383"/>
      <c r="X505" s="383"/>
      <c r="Y505" s="383"/>
      <c r="Z505" s="383"/>
      <c r="AA505" s="383"/>
      <c r="AB505" s="383"/>
      <c r="AC505" s="383"/>
      <c r="AD505" s="383"/>
      <c r="AE505" s="383"/>
      <c r="AF505" s="383"/>
      <c r="AG505" s="383"/>
      <c r="AH505" s="383"/>
      <c r="AI505" s="383"/>
      <c r="AJ505" s="383"/>
      <c r="AK505" s="383"/>
      <c r="AL505" s="383"/>
      <c r="AM505" s="383"/>
      <c r="AN505" s="383"/>
      <c r="AO505" s="383"/>
      <c r="AP505" s="383"/>
      <c r="AQ505" s="383"/>
      <c r="AR505" s="383"/>
      <c r="AS505" s="383"/>
    </row>
    <row r="506" spans="1:45" ht="12" customHeight="1">
      <c r="A506" s="343" t="s">
        <v>921</v>
      </c>
      <c r="B506" s="343"/>
      <c r="C506" s="343"/>
      <c r="D506" s="343"/>
      <c r="E506" s="343"/>
      <c r="F506" s="343"/>
      <c r="G506" s="343"/>
      <c r="H506" s="343"/>
      <c r="I506" s="343"/>
      <c r="J506" s="343"/>
      <c r="K506" s="343"/>
      <c r="L506" s="343"/>
      <c r="M506" s="343"/>
      <c r="N506" s="343"/>
      <c r="O506" s="343"/>
      <c r="P506" s="343"/>
      <c r="Q506" s="343"/>
      <c r="R506" s="343"/>
      <c r="S506" s="343"/>
      <c r="T506" s="343"/>
      <c r="U506" s="343"/>
      <c r="V506" s="343"/>
      <c r="W506" s="343"/>
      <c r="X506" s="343"/>
      <c r="Y506" s="343"/>
      <c r="Z506" s="343"/>
      <c r="AA506" s="343"/>
      <c r="AB506" s="352" t="s">
        <v>1742</v>
      </c>
      <c r="AC506" s="352"/>
      <c r="AD506" s="343" t="s">
        <v>2296</v>
      </c>
      <c r="AE506" s="343"/>
      <c r="AF506" s="343"/>
      <c r="AG506" s="343"/>
      <c r="AH506" s="343"/>
      <c r="AI506" s="343"/>
      <c r="AJ506" s="343"/>
      <c r="AK506" s="343"/>
      <c r="AL506" s="343"/>
      <c r="AM506" s="352" t="s">
        <v>2036</v>
      </c>
      <c r="AN506" s="352"/>
      <c r="AO506" s="352"/>
      <c r="AP506" s="352"/>
      <c r="AQ506" s="352"/>
      <c r="AR506" s="352"/>
      <c r="AS506" s="352"/>
    </row>
    <row r="507" spans="1:45" ht="12" customHeight="1" thickBot="1">
      <c r="A507" s="404" t="s">
        <v>921</v>
      </c>
      <c r="B507" s="404"/>
      <c r="C507" s="404"/>
      <c r="D507" s="404"/>
      <c r="E507" s="404"/>
      <c r="F507" s="404" t="s">
        <v>2298</v>
      </c>
      <c r="G507" s="404"/>
      <c r="H507" s="404"/>
      <c r="I507" s="404"/>
      <c r="J507" s="404"/>
      <c r="K507" s="404"/>
      <c r="L507" s="404"/>
      <c r="M507" s="404"/>
      <c r="N507" s="404"/>
      <c r="O507" s="404"/>
      <c r="P507" s="404"/>
      <c r="Q507" s="404"/>
      <c r="R507" s="404"/>
      <c r="S507" s="404"/>
      <c r="T507" s="404"/>
      <c r="U507" s="404"/>
      <c r="V507" s="404"/>
      <c r="W507" s="404"/>
      <c r="X507" s="404"/>
      <c r="Y507" s="404"/>
      <c r="Z507" s="404"/>
      <c r="AA507" s="404"/>
      <c r="AB507" s="404"/>
      <c r="AC507" s="404"/>
      <c r="AD507" s="404"/>
      <c r="AE507" s="404"/>
      <c r="AF507" s="404"/>
      <c r="AG507" s="404"/>
      <c r="AH507" s="404"/>
      <c r="AI507" s="404"/>
      <c r="AJ507" s="404"/>
      <c r="AK507" s="404"/>
      <c r="AL507" s="404"/>
      <c r="AM507" s="405" t="s">
        <v>2036</v>
      </c>
      <c r="AN507" s="405"/>
      <c r="AO507" s="405"/>
      <c r="AP507" s="405"/>
      <c r="AQ507" s="405"/>
      <c r="AR507" s="405"/>
      <c r="AS507" s="405"/>
    </row>
    <row r="508" spans="1:45" ht="12" customHeight="1">
      <c r="A508" s="354" t="s">
        <v>922</v>
      </c>
      <c r="B508" s="354"/>
      <c r="C508" s="354"/>
      <c r="D508" s="354"/>
      <c r="E508" s="354"/>
      <c r="F508" s="354"/>
      <c r="G508" s="354"/>
      <c r="H508" s="354"/>
      <c r="I508" s="354"/>
      <c r="J508" s="354"/>
      <c r="K508" s="354"/>
      <c r="L508" s="354"/>
      <c r="M508" s="354"/>
      <c r="N508" s="354"/>
      <c r="O508" s="354"/>
      <c r="P508" s="354"/>
      <c r="Q508" s="354"/>
      <c r="R508" s="354"/>
      <c r="S508" s="354"/>
      <c r="T508" s="354"/>
      <c r="U508" s="354"/>
      <c r="V508" s="354"/>
      <c r="W508" s="354"/>
      <c r="X508" s="354"/>
      <c r="Y508" s="354"/>
      <c r="Z508" s="354"/>
      <c r="AA508" s="354"/>
      <c r="AB508" s="355" t="s">
        <v>1742</v>
      </c>
      <c r="AC508" s="355"/>
      <c r="AD508" s="354" t="s">
        <v>2296</v>
      </c>
      <c r="AE508" s="354"/>
      <c r="AF508" s="354"/>
      <c r="AG508" s="354"/>
      <c r="AH508" s="354"/>
      <c r="AI508" s="354"/>
      <c r="AJ508" s="354"/>
      <c r="AK508" s="354"/>
      <c r="AL508" s="354"/>
      <c r="AM508" s="355" t="s">
        <v>923</v>
      </c>
      <c r="AN508" s="355"/>
      <c r="AO508" s="355"/>
      <c r="AP508" s="355"/>
      <c r="AQ508" s="355"/>
      <c r="AR508" s="355"/>
      <c r="AS508" s="355"/>
    </row>
    <row r="509" spans="1:45" ht="12" customHeight="1" thickBot="1">
      <c r="A509" s="404" t="s">
        <v>922</v>
      </c>
      <c r="B509" s="404"/>
      <c r="C509" s="404"/>
      <c r="D509" s="404"/>
      <c r="E509" s="404"/>
      <c r="F509" s="404" t="s">
        <v>2301</v>
      </c>
      <c r="G509" s="404"/>
      <c r="H509" s="404"/>
      <c r="I509" s="404"/>
      <c r="J509" s="404"/>
      <c r="K509" s="404"/>
      <c r="L509" s="404"/>
      <c r="M509" s="404"/>
      <c r="N509" s="404"/>
      <c r="O509" s="404"/>
      <c r="P509" s="404"/>
      <c r="Q509" s="404"/>
      <c r="R509" s="404"/>
      <c r="S509" s="404"/>
      <c r="T509" s="404"/>
      <c r="U509" s="404"/>
      <c r="V509" s="404"/>
      <c r="W509" s="404"/>
      <c r="X509" s="404"/>
      <c r="Y509" s="404"/>
      <c r="Z509" s="404"/>
      <c r="AA509" s="404"/>
      <c r="AB509" s="404"/>
      <c r="AC509" s="404"/>
      <c r="AD509" s="404"/>
      <c r="AE509" s="404"/>
      <c r="AF509" s="404"/>
      <c r="AG509" s="404"/>
      <c r="AH509" s="404"/>
      <c r="AI509" s="404"/>
      <c r="AJ509" s="404"/>
      <c r="AK509" s="404"/>
      <c r="AL509" s="404"/>
      <c r="AM509" s="405" t="s">
        <v>923</v>
      </c>
      <c r="AN509" s="405"/>
      <c r="AO509" s="405"/>
      <c r="AP509" s="405"/>
      <c r="AQ509" s="405"/>
      <c r="AR509" s="405"/>
      <c r="AS509" s="405"/>
    </row>
    <row r="510" spans="1:45" ht="12" customHeight="1">
      <c r="A510" s="354" t="s">
        <v>924</v>
      </c>
      <c r="B510" s="354"/>
      <c r="C510" s="354"/>
      <c r="D510" s="354"/>
      <c r="E510" s="354"/>
      <c r="F510" s="354"/>
      <c r="G510" s="354"/>
      <c r="H510" s="354"/>
      <c r="I510" s="354"/>
      <c r="J510" s="354"/>
      <c r="K510" s="354"/>
      <c r="L510" s="354"/>
      <c r="M510" s="354"/>
      <c r="N510" s="354"/>
      <c r="O510" s="354"/>
      <c r="P510" s="354"/>
      <c r="Q510" s="354"/>
      <c r="R510" s="354"/>
      <c r="S510" s="354"/>
      <c r="T510" s="354"/>
      <c r="U510" s="354"/>
      <c r="V510" s="354"/>
      <c r="W510" s="354"/>
      <c r="X510" s="354"/>
      <c r="Y510" s="354"/>
      <c r="Z510" s="354"/>
      <c r="AA510" s="354"/>
      <c r="AB510" s="355" t="s">
        <v>1735</v>
      </c>
      <c r="AC510" s="355"/>
      <c r="AD510" s="354" t="s">
        <v>2303</v>
      </c>
      <c r="AE510" s="354"/>
      <c r="AF510" s="354"/>
      <c r="AG510" s="354"/>
      <c r="AH510" s="354"/>
      <c r="AI510" s="354"/>
      <c r="AJ510" s="354"/>
      <c r="AK510" s="354"/>
      <c r="AL510" s="354"/>
      <c r="AM510" s="355" t="s">
        <v>925</v>
      </c>
      <c r="AN510" s="355"/>
      <c r="AO510" s="355"/>
      <c r="AP510" s="355"/>
      <c r="AQ510" s="355"/>
      <c r="AR510" s="355"/>
      <c r="AS510" s="355"/>
    </row>
    <row r="511" spans="1:45" ht="12" customHeight="1" thickBot="1">
      <c r="A511" s="404" t="s">
        <v>924</v>
      </c>
      <c r="B511" s="404"/>
      <c r="C511" s="404"/>
      <c r="D511" s="404"/>
      <c r="E511" s="404"/>
      <c r="F511" s="404" t="s">
        <v>2305</v>
      </c>
      <c r="G511" s="404"/>
      <c r="H511" s="404"/>
      <c r="I511" s="404"/>
      <c r="J511" s="404"/>
      <c r="K511" s="404"/>
      <c r="L511" s="404"/>
      <c r="M511" s="404"/>
      <c r="N511" s="404"/>
      <c r="O511" s="404"/>
      <c r="P511" s="404"/>
      <c r="Q511" s="404"/>
      <c r="R511" s="404"/>
      <c r="S511" s="404"/>
      <c r="T511" s="404"/>
      <c r="U511" s="404"/>
      <c r="V511" s="404"/>
      <c r="W511" s="404"/>
      <c r="X511" s="404"/>
      <c r="Y511" s="404"/>
      <c r="Z511" s="404"/>
      <c r="AA511" s="404"/>
      <c r="AB511" s="404"/>
      <c r="AC511" s="404"/>
      <c r="AD511" s="404"/>
      <c r="AE511" s="404"/>
      <c r="AF511" s="404"/>
      <c r="AG511" s="404"/>
      <c r="AH511" s="404"/>
      <c r="AI511" s="404"/>
      <c r="AJ511" s="404"/>
      <c r="AK511" s="404"/>
      <c r="AL511" s="404"/>
      <c r="AM511" s="405" t="s">
        <v>925</v>
      </c>
      <c r="AN511" s="405"/>
      <c r="AO511" s="405"/>
      <c r="AP511" s="405"/>
      <c r="AQ511" s="405"/>
      <c r="AR511" s="405"/>
      <c r="AS511" s="405"/>
    </row>
    <row r="512" spans="1:45" ht="12" customHeight="1">
      <c r="A512" s="354" t="s">
        <v>926</v>
      </c>
      <c r="B512" s="354"/>
      <c r="C512" s="354"/>
      <c r="D512" s="354"/>
      <c r="E512" s="354"/>
      <c r="F512" s="354"/>
      <c r="G512" s="354"/>
      <c r="H512" s="354"/>
      <c r="I512" s="354"/>
      <c r="J512" s="354"/>
      <c r="K512" s="354"/>
      <c r="L512" s="354"/>
      <c r="M512" s="354"/>
      <c r="N512" s="354"/>
      <c r="O512" s="354"/>
      <c r="P512" s="354"/>
      <c r="Q512" s="354"/>
      <c r="R512" s="354"/>
      <c r="S512" s="354"/>
      <c r="T512" s="354"/>
      <c r="U512" s="354"/>
      <c r="V512" s="354"/>
      <c r="W512" s="354"/>
      <c r="X512" s="354"/>
      <c r="Y512" s="354"/>
      <c r="Z512" s="354"/>
      <c r="AA512" s="354"/>
      <c r="AB512" s="355" t="s">
        <v>1735</v>
      </c>
      <c r="AC512" s="355"/>
      <c r="AD512" s="354" t="s">
        <v>2303</v>
      </c>
      <c r="AE512" s="354"/>
      <c r="AF512" s="354"/>
      <c r="AG512" s="354"/>
      <c r="AH512" s="354"/>
      <c r="AI512" s="354"/>
      <c r="AJ512" s="354"/>
      <c r="AK512" s="354"/>
      <c r="AL512" s="354"/>
      <c r="AM512" s="355" t="s">
        <v>927</v>
      </c>
      <c r="AN512" s="355"/>
      <c r="AO512" s="355"/>
      <c r="AP512" s="355"/>
      <c r="AQ512" s="355"/>
      <c r="AR512" s="355"/>
      <c r="AS512" s="355"/>
    </row>
    <row r="513" spans="1:45" ht="12" customHeight="1" thickBot="1">
      <c r="A513" s="404" t="s">
        <v>926</v>
      </c>
      <c r="B513" s="404"/>
      <c r="C513" s="404"/>
      <c r="D513" s="404"/>
      <c r="E513" s="404"/>
      <c r="F513" s="404" t="s">
        <v>2306</v>
      </c>
      <c r="G513" s="404"/>
      <c r="H513" s="404"/>
      <c r="I513" s="404"/>
      <c r="J513" s="404"/>
      <c r="K513" s="404"/>
      <c r="L513" s="404"/>
      <c r="M513" s="404"/>
      <c r="N513" s="404"/>
      <c r="O513" s="404"/>
      <c r="P513" s="404"/>
      <c r="Q513" s="404"/>
      <c r="R513" s="404"/>
      <c r="S513" s="404"/>
      <c r="T513" s="404"/>
      <c r="U513" s="404"/>
      <c r="V513" s="404"/>
      <c r="W513" s="404"/>
      <c r="X513" s="404"/>
      <c r="Y513" s="404"/>
      <c r="Z513" s="404"/>
      <c r="AA513" s="404"/>
      <c r="AB513" s="404"/>
      <c r="AC513" s="404"/>
      <c r="AD513" s="404"/>
      <c r="AE513" s="404"/>
      <c r="AF513" s="404"/>
      <c r="AG513" s="404"/>
      <c r="AH513" s="404"/>
      <c r="AI513" s="404"/>
      <c r="AJ513" s="404"/>
      <c r="AK513" s="404"/>
      <c r="AL513" s="404"/>
      <c r="AM513" s="405" t="s">
        <v>927</v>
      </c>
      <c r="AN513" s="405"/>
      <c r="AO513" s="405"/>
      <c r="AP513" s="405"/>
      <c r="AQ513" s="405"/>
      <c r="AR513" s="405"/>
      <c r="AS513" s="405"/>
    </row>
    <row r="514" spans="1:45" ht="12" customHeight="1">
      <c r="A514" s="354" t="s">
        <v>928</v>
      </c>
      <c r="B514" s="354"/>
      <c r="C514" s="354"/>
      <c r="D514" s="354"/>
      <c r="E514" s="354"/>
      <c r="F514" s="354"/>
      <c r="G514" s="354"/>
      <c r="H514" s="354"/>
      <c r="I514" s="354"/>
      <c r="J514" s="354"/>
      <c r="K514" s="354"/>
      <c r="L514" s="354"/>
      <c r="M514" s="354"/>
      <c r="N514" s="354"/>
      <c r="O514" s="354"/>
      <c r="P514" s="354"/>
      <c r="Q514" s="354"/>
      <c r="R514" s="354"/>
      <c r="S514" s="354"/>
      <c r="T514" s="354"/>
      <c r="U514" s="354"/>
      <c r="V514" s="354"/>
      <c r="W514" s="354"/>
      <c r="X514" s="354"/>
      <c r="Y514" s="354"/>
      <c r="Z514" s="354"/>
      <c r="AA514" s="354"/>
      <c r="AB514" s="355" t="s">
        <v>1735</v>
      </c>
      <c r="AC514" s="355"/>
      <c r="AD514" s="354" t="s">
        <v>2303</v>
      </c>
      <c r="AE514" s="354"/>
      <c r="AF514" s="354"/>
      <c r="AG514" s="354"/>
      <c r="AH514" s="354"/>
      <c r="AI514" s="354"/>
      <c r="AJ514" s="354"/>
      <c r="AK514" s="354"/>
      <c r="AL514" s="354"/>
      <c r="AM514" s="355" t="s">
        <v>929</v>
      </c>
      <c r="AN514" s="355"/>
      <c r="AO514" s="355"/>
      <c r="AP514" s="355"/>
      <c r="AQ514" s="355"/>
      <c r="AR514" s="355"/>
      <c r="AS514" s="355"/>
    </row>
    <row r="515" spans="1:45" ht="12" customHeight="1" thickBot="1">
      <c r="A515" s="404" t="s">
        <v>928</v>
      </c>
      <c r="B515" s="404"/>
      <c r="C515" s="404"/>
      <c r="D515" s="404"/>
      <c r="E515" s="404"/>
      <c r="F515" s="404" t="s">
        <v>2308</v>
      </c>
      <c r="G515" s="404"/>
      <c r="H515" s="404"/>
      <c r="I515" s="404"/>
      <c r="J515" s="404"/>
      <c r="K515" s="404"/>
      <c r="L515" s="404"/>
      <c r="M515" s="404"/>
      <c r="N515" s="404"/>
      <c r="O515" s="404"/>
      <c r="P515" s="404"/>
      <c r="Q515" s="404"/>
      <c r="R515" s="404"/>
      <c r="S515" s="404"/>
      <c r="T515" s="404"/>
      <c r="U515" s="404"/>
      <c r="V515" s="404"/>
      <c r="W515" s="404"/>
      <c r="X515" s="404"/>
      <c r="Y515" s="404"/>
      <c r="Z515" s="404"/>
      <c r="AA515" s="404"/>
      <c r="AB515" s="404"/>
      <c r="AC515" s="404"/>
      <c r="AD515" s="404"/>
      <c r="AE515" s="404"/>
      <c r="AF515" s="404"/>
      <c r="AG515" s="404"/>
      <c r="AH515" s="404"/>
      <c r="AI515" s="404"/>
      <c r="AJ515" s="404"/>
      <c r="AK515" s="404"/>
      <c r="AL515" s="404"/>
      <c r="AM515" s="405" t="s">
        <v>929</v>
      </c>
      <c r="AN515" s="405"/>
      <c r="AO515" s="405"/>
      <c r="AP515" s="405"/>
      <c r="AQ515" s="405"/>
      <c r="AR515" s="405"/>
      <c r="AS515" s="405"/>
    </row>
    <row r="516" spans="1:45" ht="13.5" thickBot="1">
      <c r="A516" s="410" t="s">
        <v>930</v>
      </c>
      <c r="B516" s="410"/>
      <c r="C516" s="410"/>
      <c r="D516" s="410"/>
      <c r="E516" s="410"/>
      <c r="F516" s="410"/>
      <c r="G516" s="410"/>
      <c r="H516" s="410"/>
      <c r="I516" s="410"/>
      <c r="J516" s="410"/>
      <c r="K516" s="410"/>
      <c r="L516" s="410"/>
      <c r="M516" s="410"/>
      <c r="N516" s="410"/>
      <c r="O516" s="410"/>
      <c r="P516" s="410"/>
      <c r="Q516" s="410"/>
      <c r="R516" s="410"/>
      <c r="S516" s="410"/>
      <c r="T516" s="410"/>
      <c r="U516" s="410"/>
      <c r="V516" s="410"/>
      <c r="W516" s="410"/>
      <c r="X516" s="410"/>
      <c r="Y516" s="410"/>
      <c r="Z516" s="410"/>
      <c r="AA516" s="410"/>
      <c r="AB516" s="410"/>
      <c r="AC516" s="410"/>
      <c r="AD516" s="410"/>
      <c r="AE516" s="410"/>
      <c r="AF516" s="410"/>
      <c r="AG516" s="410"/>
      <c r="AH516" s="410"/>
      <c r="AI516" s="410"/>
      <c r="AJ516" s="410"/>
      <c r="AK516" s="410"/>
      <c r="AL516" s="410"/>
      <c r="AM516" s="369" t="s">
        <v>931</v>
      </c>
      <c r="AN516" s="369"/>
      <c r="AO516" s="369"/>
      <c r="AP516" s="369"/>
      <c r="AQ516" s="369"/>
      <c r="AR516" s="369"/>
      <c r="AS516" s="369"/>
    </row>
    <row r="517" spans="1:45" ht="4.5" customHeight="1">
      <c r="A517" s="412"/>
      <c r="B517" s="412"/>
      <c r="C517" s="412"/>
      <c r="D517" s="412"/>
      <c r="E517" s="412"/>
      <c r="F517" s="412"/>
      <c r="G517" s="412"/>
      <c r="H517" s="412"/>
      <c r="I517" s="412"/>
      <c r="J517" s="412"/>
      <c r="K517" s="412"/>
      <c r="L517" s="412"/>
      <c r="M517" s="412"/>
      <c r="N517" s="412"/>
      <c r="O517" s="412"/>
      <c r="P517" s="412"/>
      <c r="Q517" s="412"/>
      <c r="R517" s="412"/>
      <c r="S517" s="412"/>
      <c r="T517" s="412"/>
      <c r="U517" s="412"/>
      <c r="V517" s="412"/>
      <c r="W517" s="412"/>
      <c r="X517" s="412"/>
      <c r="Y517" s="412"/>
      <c r="Z517" s="412"/>
      <c r="AA517" s="412"/>
      <c r="AB517" s="412"/>
      <c r="AC517" s="412"/>
      <c r="AD517" s="412"/>
      <c r="AE517" s="412"/>
      <c r="AF517" s="412"/>
      <c r="AG517" s="412"/>
      <c r="AH517" s="412"/>
      <c r="AI517" s="412"/>
      <c r="AJ517" s="412"/>
      <c r="AK517" s="412"/>
      <c r="AL517" s="412"/>
      <c r="AM517" s="412"/>
      <c r="AN517" s="412"/>
      <c r="AO517" s="412"/>
      <c r="AP517" s="412"/>
      <c r="AQ517" s="412"/>
      <c r="AR517" s="412"/>
      <c r="AS517" s="412"/>
    </row>
    <row r="518" spans="1:45" ht="31.5" customHeight="1" thickBot="1">
      <c r="A518" s="397" t="s">
        <v>932</v>
      </c>
      <c r="B518" s="397"/>
      <c r="C518" s="397"/>
      <c r="D518" s="397"/>
      <c r="E518" s="397"/>
      <c r="F518" s="397"/>
      <c r="G518" s="397"/>
      <c r="H518" s="397"/>
      <c r="I518" s="397"/>
      <c r="J518" s="397"/>
      <c r="K518" s="397"/>
      <c r="L518" s="397"/>
      <c r="M518" s="397"/>
      <c r="N518" s="397"/>
      <c r="O518" s="397"/>
      <c r="P518" s="397"/>
      <c r="Q518" s="397"/>
      <c r="R518" s="397"/>
      <c r="S518" s="397"/>
      <c r="T518" s="397"/>
      <c r="U518" s="397"/>
      <c r="V518" s="397"/>
      <c r="W518" s="397"/>
      <c r="X518" s="397"/>
      <c r="Y518" s="397"/>
      <c r="Z518" s="397"/>
      <c r="AA518" s="397"/>
      <c r="AB518" s="397"/>
      <c r="AC518" s="397"/>
      <c r="AD518" s="397"/>
      <c r="AE518" s="397"/>
      <c r="AF518" s="397"/>
      <c r="AG518" s="397"/>
      <c r="AH518" s="397"/>
      <c r="AI518" s="397"/>
      <c r="AJ518" s="397"/>
      <c r="AK518" s="397"/>
      <c r="AL518" s="397"/>
      <c r="AM518" s="397"/>
      <c r="AN518" s="397"/>
      <c r="AO518" s="397"/>
      <c r="AP518" s="397"/>
      <c r="AQ518" s="397"/>
      <c r="AR518" s="397"/>
      <c r="AS518" s="397"/>
    </row>
    <row r="519" spans="1:45" ht="12.75">
      <c r="A519" s="350" t="s">
        <v>919</v>
      </c>
      <c r="B519" s="350"/>
      <c r="C519" s="350"/>
      <c r="D519" s="350"/>
      <c r="E519" s="350"/>
      <c r="F519" s="350" t="s">
        <v>715</v>
      </c>
      <c r="G519" s="350"/>
      <c r="H519" s="350"/>
      <c r="I519" s="350"/>
      <c r="J519" s="350"/>
      <c r="K519" s="350"/>
      <c r="L519" s="350"/>
      <c r="M519" s="350"/>
      <c r="N519" s="350"/>
      <c r="O519" s="350"/>
      <c r="P519" s="350"/>
      <c r="Q519" s="350"/>
      <c r="R519" s="350"/>
      <c r="S519" s="351" t="s">
        <v>933</v>
      </c>
      <c r="T519" s="351"/>
      <c r="U519" s="351"/>
      <c r="V519" s="351"/>
      <c r="W519" s="351"/>
      <c r="X519" s="351"/>
      <c r="Y519" s="351"/>
      <c r="Z519" s="351"/>
      <c r="AA519" s="351"/>
      <c r="AB519" s="351" t="s">
        <v>2287</v>
      </c>
      <c r="AC519" s="351"/>
      <c r="AD519" s="350" t="s">
        <v>715</v>
      </c>
      <c r="AE519" s="350"/>
      <c r="AF519" s="350"/>
      <c r="AG519" s="350"/>
      <c r="AH519" s="350"/>
      <c r="AI519" s="350"/>
      <c r="AJ519" s="350"/>
      <c r="AK519" s="350"/>
      <c r="AL519" s="350"/>
      <c r="AM519" s="351" t="s">
        <v>2331</v>
      </c>
      <c r="AN519" s="351"/>
      <c r="AO519" s="351"/>
      <c r="AP519" s="351"/>
      <c r="AQ519" s="351"/>
      <c r="AR519" s="351"/>
      <c r="AS519" s="351"/>
    </row>
    <row r="520" spans="1:45" ht="7.5" customHeight="1" thickBot="1">
      <c r="A520" s="398" t="s">
        <v>2334</v>
      </c>
      <c r="B520" s="398"/>
      <c r="C520" s="398"/>
      <c r="D520" s="398"/>
      <c r="E520" s="398"/>
      <c r="F520" s="398"/>
      <c r="G520" s="398"/>
      <c r="H520" s="398"/>
      <c r="I520" s="398"/>
      <c r="J520" s="398"/>
      <c r="K520" s="398"/>
      <c r="L520" s="398"/>
      <c r="M520" s="398"/>
      <c r="N520" s="398"/>
      <c r="O520" s="398"/>
      <c r="P520" s="398"/>
      <c r="Q520" s="398"/>
      <c r="R520" s="398"/>
      <c r="S520" s="398"/>
      <c r="T520" s="398"/>
      <c r="U520" s="398"/>
      <c r="V520" s="398"/>
      <c r="W520" s="398"/>
      <c r="X520" s="399" t="s">
        <v>2335</v>
      </c>
      <c r="Y520" s="399"/>
      <c r="Z520" s="399"/>
      <c r="AA520" s="399"/>
      <c r="AB520" s="399" t="s">
        <v>934</v>
      </c>
      <c r="AC520" s="399"/>
      <c r="AD520" s="399"/>
      <c r="AE520" s="399"/>
      <c r="AF520" s="399"/>
      <c r="AG520" s="399"/>
      <c r="AH520" s="399"/>
      <c r="AI520" s="399"/>
      <c r="AJ520" s="399"/>
      <c r="AK520" s="399"/>
      <c r="AL520" s="399"/>
      <c r="AM520" s="399" t="s">
        <v>935</v>
      </c>
      <c r="AN520" s="399"/>
      <c r="AO520" s="399"/>
      <c r="AP520" s="399"/>
      <c r="AQ520" s="399"/>
      <c r="AR520" s="399"/>
      <c r="AS520" s="399"/>
    </row>
    <row r="521" spans="1:45" ht="4.5" customHeight="1">
      <c r="A521" s="383"/>
      <c r="B521" s="383"/>
      <c r="C521" s="383"/>
      <c r="D521" s="383"/>
      <c r="E521" s="383"/>
      <c r="F521" s="383"/>
      <c r="G521" s="383"/>
      <c r="H521" s="383"/>
      <c r="I521" s="383"/>
      <c r="J521" s="383"/>
      <c r="K521" s="383"/>
      <c r="L521" s="383"/>
      <c r="M521" s="383"/>
      <c r="N521" s="383"/>
      <c r="O521" s="383"/>
      <c r="P521" s="383"/>
      <c r="Q521" s="383"/>
      <c r="R521" s="383"/>
      <c r="S521" s="383"/>
      <c r="T521" s="383"/>
      <c r="U521" s="383"/>
      <c r="V521" s="383"/>
      <c r="W521" s="383"/>
      <c r="X521" s="383"/>
      <c r="Y521" s="383"/>
      <c r="Z521" s="383"/>
      <c r="AA521" s="383"/>
      <c r="AB521" s="383"/>
      <c r="AC521" s="383"/>
      <c r="AD521" s="383"/>
      <c r="AE521" s="383"/>
      <c r="AF521" s="383"/>
      <c r="AG521" s="383"/>
      <c r="AH521" s="383"/>
      <c r="AI521" s="383"/>
      <c r="AJ521" s="383"/>
      <c r="AK521" s="383"/>
      <c r="AL521" s="383"/>
      <c r="AM521" s="383"/>
      <c r="AN521" s="383"/>
      <c r="AO521" s="383"/>
      <c r="AP521" s="383"/>
      <c r="AQ521" s="383"/>
      <c r="AR521" s="383"/>
      <c r="AS521" s="383"/>
    </row>
    <row r="522" spans="1:45" ht="10.5" customHeight="1">
      <c r="A522" s="343"/>
      <c r="B522" s="343"/>
      <c r="C522" s="343"/>
      <c r="D522" s="343"/>
      <c r="E522" s="343"/>
      <c r="F522" s="343" t="s">
        <v>936</v>
      </c>
      <c r="G522" s="343"/>
      <c r="H522" s="343"/>
      <c r="I522" s="343"/>
      <c r="J522" s="343"/>
      <c r="K522" s="343"/>
      <c r="L522" s="343"/>
      <c r="M522" s="343"/>
      <c r="N522" s="343"/>
      <c r="O522" s="343"/>
      <c r="P522" s="343"/>
      <c r="Q522" s="343"/>
      <c r="R522" s="343"/>
      <c r="S522" s="343"/>
      <c r="T522" s="343"/>
      <c r="U522" s="343"/>
      <c r="V522" s="343"/>
      <c r="W522" s="343"/>
      <c r="X522" s="352"/>
      <c r="Y522" s="352"/>
      <c r="Z522" s="352"/>
      <c r="AA522" s="352"/>
      <c r="AB522" s="352"/>
      <c r="AC522" s="352"/>
      <c r="AD522" s="343"/>
      <c r="AE522" s="343"/>
      <c r="AF522" s="343"/>
      <c r="AG522" s="343"/>
      <c r="AH522" s="343"/>
      <c r="AI522" s="343"/>
      <c r="AJ522" s="343"/>
      <c r="AK522" s="343"/>
      <c r="AL522" s="343"/>
      <c r="AM522" s="352"/>
      <c r="AN522" s="352"/>
      <c r="AO522" s="352"/>
      <c r="AP522" s="352"/>
      <c r="AQ522" s="352"/>
      <c r="AR522" s="352"/>
      <c r="AS522" s="352"/>
    </row>
    <row r="523" spans="1:45" ht="13.5" thickBot="1">
      <c r="A523" s="397" t="s">
        <v>937</v>
      </c>
      <c r="B523" s="397"/>
      <c r="C523" s="397"/>
      <c r="D523" s="397"/>
      <c r="E523" s="397"/>
      <c r="F523" s="397"/>
      <c r="G523" s="397"/>
      <c r="H523" s="397"/>
      <c r="I523" s="397"/>
      <c r="J523" s="397"/>
      <c r="K523" s="397"/>
      <c r="L523" s="397"/>
      <c r="M523" s="397"/>
      <c r="N523" s="397"/>
      <c r="O523" s="397"/>
      <c r="P523" s="397"/>
      <c r="Q523" s="397"/>
      <c r="R523" s="397"/>
      <c r="S523" s="397"/>
      <c r="T523" s="397"/>
      <c r="U523" s="397"/>
      <c r="V523" s="397"/>
      <c r="W523" s="397"/>
      <c r="X523" s="397"/>
      <c r="Y523" s="397"/>
      <c r="Z523" s="397"/>
      <c r="AA523" s="397"/>
      <c r="AB523" s="397"/>
      <c r="AC523" s="397"/>
      <c r="AD523" s="397"/>
      <c r="AE523" s="397"/>
      <c r="AF523" s="397"/>
      <c r="AG523" s="397"/>
      <c r="AH523" s="397"/>
      <c r="AI523" s="397"/>
      <c r="AJ523" s="397"/>
      <c r="AK523" s="397"/>
      <c r="AL523" s="397"/>
      <c r="AM523" s="397"/>
      <c r="AN523" s="397"/>
      <c r="AO523" s="397"/>
      <c r="AP523" s="397"/>
      <c r="AQ523" s="397"/>
      <c r="AR523" s="397"/>
      <c r="AS523" s="397"/>
    </row>
    <row r="524" spans="1:45" ht="12.75">
      <c r="A524" s="350" t="s">
        <v>2330</v>
      </c>
      <c r="B524" s="350"/>
      <c r="C524" s="350"/>
      <c r="D524" s="350"/>
      <c r="E524" s="350" t="s">
        <v>2287</v>
      </c>
      <c r="F524" s="350"/>
      <c r="G524" s="350"/>
      <c r="H524" s="350" t="s">
        <v>1574</v>
      </c>
      <c r="I524" s="350"/>
      <c r="J524" s="350"/>
      <c r="K524" s="350"/>
      <c r="L524" s="350"/>
      <c r="M524" s="350"/>
      <c r="N524" s="350"/>
      <c r="O524" s="350"/>
      <c r="P524" s="350"/>
      <c r="Q524" s="350"/>
      <c r="R524" s="350"/>
      <c r="S524" s="350" t="s">
        <v>938</v>
      </c>
      <c r="T524" s="350"/>
      <c r="U524" s="350"/>
      <c r="V524" s="350"/>
      <c r="W524" s="350" t="s">
        <v>939</v>
      </c>
      <c r="X524" s="350"/>
      <c r="Y524" s="350"/>
      <c r="Z524" s="350"/>
      <c r="AA524" s="351" t="s">
        <v>1575</v>
      </c>
      <c r="AB524" s="351"/>
      <c r="AC524" s="351"/>
      <c r="AD524" s="351"/>
      <c r="AE524" s="351"/>
      <c r="AF524" s="351"/>
      <c r="AG524" s="351" t="s">
        <v>1576</v>
      </c>
      <c r="AH524" s="351"/>
      <c r="AI524" s="351"/>
      <c r="AJ524" s="351"/>
      <c r="AK524" s="351" t="s">
        <v>2331</v>
      </c>
      <c r="AL524" s="351"/>
      <c r="AM524" s="351"/>
      <c r="AN524" s="351"/>
      <c r="AO524" s="351"/>
      <c r="AP524" s="351"/>
      <c r="AQ524" s="351" t="s">
        <v>2332</v>
      </c>
      <c r="AR524" s="351"/>
      <c r="AS524" s="444" t="s">
        <v>2333</v>
      </c>
    </row>
    <row r="525" spans="1:45" ht="7.5" customHeight="1" thickBot="1">
      <c r="A525" s="398" t="s">
        <v>2334</v>
      </c>
      <c r="B525" s="398"/>
      <c r="C525" s="398"/>
      <c r="D525" s="398"/>
      <c r="E525" s="398" t="s">
        <v>2335</v>
      </c>
      <c r="F525" s="398"/>
      <c r="G525" s="398"/>
      <c r="H525" s="399"/>
      <c r="I525" s="399"/>
      <c r="J525" s="399"/>
      <c r="K525" s="399"/>
      <c r="L525" s="399"/>
      <c r="M525" s="399"/>
      <c r="N525" s="399"/>
      <c r="O525" s="399"/>
      <c r="P525" s="399"/>
      <c r="Q525" s="399"/>
      <c r="R525" s="399"/>
      <c r="S525" s="398" t="s">
        <v>934</v>
      </c>
      <c r="T525" s="398"/>
      <c r="U525" s="398"/>
      <c r="V525" s="398"/>
      <c r="W525" s="398" t="s">
        <v>940</v>
      </c>
      <c r="X525" s="398"/>
      <c r="Y525" s="398"/>
      <c r="Z525" s="398"/>
      <c r="AA525" s="399" t="s">
        <v>1659</v>
      </c>
      <c r="AB525" s="399"/>
      <c r="AC525" s="399"/>
      <c r="AD525" s="399"/>
      <c r="AE525" s="399"/>
      <c r="AF525" s="399"/>
      <c r="AG525" s="399" t="s">
        <v>1729</v>
      </c>
      <c r="AH525" s="399"/>
      <c r="AI525" s="399"/>
      <c r="AJ525" s="399"/>
      <c r="AK525" s="399" t="s">
        <v>2336</v>
      </c>
      <c r="AL525" s="399"/>
      <c r="AM525" s="399"/>
      <c r="AN525" s="399"/>
      <c r="AO525" s="399"/>
      <c r="AP525" s="399"/>
      <c r="AQ525" s="399"/>
      <c r="AR525" s="399"/>
      <c r="AS525" s="445"/>
    </row>
    <row r="526" spans="1:45" ht="4.5" customHeight="1" thickBot="1">
      <c r="A526" s="383"/>
      <c r="B526" s="383"/>
      <c r="C526" s="383"/>
      <c r="D526" s="383"/>
      <c r="E526" s="383"/>
      <c r="F526" s="383"/>
      <c r="G526" s="383"/>
      <c r="H526" s="383"/>
      <c r="I526" s="383"/>
      <c r="J526" s="383"/>
      <c r="K526" s="383"/>
      <c r="L526" s="383"/>
      <c r="M526" s="383"/>
      <c r="N526" s="383"/>
      <c r="O526" s="383"/>
      <c r="P526" s="383"/>
      <c r="Q526" s="383"/>
      <c r="R526" s="383"/>
      <c r="S526" s="383"/>
      <c r="T526" s="383"/>
      <c r="U526" s="383"/>
      <c r="V526" s="383"/>
      <c r="W526" s="383"/>
      <c r="X526" s="383"/>
      <c r="Y526" s="383"/>
      <c r="Z526" s="383"/>
      <c r="AA526" s="383"/>
      <c r="AB526" s="383"/>
      <c r="AC526" s="383"/>
      <c r="AD526" s="383"/>
      <c r="AE526" s="383"/>
      <c r="AF526" s="383"/>
      <c r="AG526" s="383"/>
      <c r="AH526" s="383"/>
      <c r="AI526" s="383"/>
      <c r="AJ526" s="383"/>
      <c r="AK526" s="383"/>
      <c r="AL526" s="383"/>
      <c r="AM526" s="383"/>
      <c r="AN526" s="383"/>
      <c r="AO526" s="383"/>
      <c r="AP526" s="383"/>
      <c r="AQ526" s="383"/>
      <c r="AR526" s="383"/>
      <c r="AS526" s="383"/>
    </row>
    <row r="527" spans="1:45" ht="13.5" thickBot="1">
      <c r="A527" s="410" t="s">
        <v>930</v>
      </c>
      <c r="B527" s="410"/>
      <c r="C527" s="410"/>
      <c r="D527" s="410"/>
      <c r="E527" s="410"/>
      <c r="F527" s="410"/>
      <c r="G527" s="410"/>
      <c r="H527" s="410"/>
      <c r="I527" s="410"/>
      <c r="J527" s="410"/>
      <c r="K527" s="410"/>
      <c r="L527" s="410"/>
      <c r="M527" s="410"/>
      <c r="N527" s="410"/>
      <c r="O527" s="410"/>
      <c r="P527" s="410"/>
      <c r="Q527" s="410"/>
      <c r="R527" s="410"/>
      <c r="S527" s="410"/>
      <c r="T527" s="410"/>
      <c r="U527" s="410"/>
      <c r="V527" s="410"/>
      <c r="W527" s="410"/>
      <c r="X527" s="410"/>
      <c r="Y527" s="410"/>
      <c r="Z527" s="410"/>
      <c r="AA527" s="369"/>
      <c r="AB527" s="369"/>
      <c r="AC527" s="369"/>
      <c r="AD527" s="369"/>
      <c r="AE527" s="369"/>
      <c r="AF527" s="369"/>
      <c r="AG527" s="369"/>
      <c r="AH527" s="369"/>
      <c r="AI527" s="369"/>
      <c r="AJ527" s="369"/>
      <c r="AK527" s="369"/>
      <c r="AL527" s="369"/>
      <c r="AM527" s="369"/>
      <c r="AN527" s="369"/>
      <c r="AO527" s="369"/>
      <c r="AP527" s="369"/>
      <c r="AQ527" s="411" t="s">
        <v>941</v>
      </c>
      <c r="AR527" s="411"/>
      <c r="AS527" s="446" t="s">
        <v>941</v>
      </c>
    </row>
    <row r="528" spans="1:45" ht="4.5" customHeight="1">
      <c r="A528" s="412"/>
      <c r="B528" s="412"/>
      <c r="C528" s="412"/>
      <c r="D528" s="412"/>
      <c r="E528" s="412"/>
      <c r="F528" s="412"/>
      <c r="G528" s="412"/>
      <c r="H528" s="412"/>
      <c r="I528" s="412"/>
      <c r="J528" s="412"/>
      <c r="K528" s="412"/>
      <c r="L528" s="412"/>
      <c r="M528" s="412"/>
      <c r="N528" s="412"/>
      <c r="O528" s="412"/>
      <c r="P528" s="412"/>
      <c r="Q528" s="412"/>
      <c r="R528" s="412"/>
      <c r="S528" s="412"/>
      <c r="T528" s="412"/>
      <c r="U528" s="412"/>
      <c r="V528" s="412"/>
      <c r="W528" s="412"/>
      <c r="X528" s="412"/>
      <c r="Y528" s="412"/>
      <c r="Z528" s="412"/>
      <c r="AA528" s="412"/>
      <c r="AB528" s="412"/>
      <c r="AC528" s="412"/>
      <c r="AD528" s="412"/>
      <c r="AE528" s="412"/>
      <c r="AF528" s="412"/>
      <c r="AG528" s="412"/>
      <c r="AH528" s="412"/>
      <c r="AI528" s="412"/>
      <c r="AJ528" s="412"/>
      <c r="AK528" s="412"/>
      <c r="AL528" s="412"/>
      <c r="AM528" s="412"/>
      <c r="AN528" s="412"/>
      <c r="AO528" s="412"/>
      <c r="AP528" s="412"/>
      <c r="AQ528" s="412"/>
      <c r="AR528" s="412"/>
      <c r="AS528" s="412"/>
    </row>
    <row r="529" spans="1:45" ht="13.5" thickBot="1">
      <c r="A529" s="397" t="s">
        <v>942</v>
      </c>
      <c r="B529" s="397"/>
      <c r="C529" s="397"/>
      <c r="D529" s="397"/>
      <c r="E529" s="397"/>
      <c r="F529" s="397"/>
      <c r="G529" s="397"/>
      <c r="H529" s="397"/>
      <c r="I529" s="397"/>
      <c r="J529" s="397"/>
      <c r="K529" s="397"/>
      <c r="L529" s="397"/>
      <c r="M529" s="397"/>
      <c r="N529" s="397"/>
      <c r="O529" s="397"/>
      <c r="P529" s="397"/>
      <c r="Q529" s="397"/>
      <c r="R529" s="397"/>
      <c r="S529" s="397"/>
      <c r="T529" s="397"/>
      <c r="U529" s="397"/>
      <c r="V529" s="397"/>
      <c r="W529" s="397"/>
      <c r="X529" s="397"/>
      <c r="Y529" s="397"/>
      <c r="Z529" s="397"/>
      <c r="AA529" s="397"/>
      <c r="AB529" s="397"/>
      <c r="AC529" s="397"/>
      <c r="AD529" s="397"/>
      <c r="AE529" s="397"/>
      <c r="AF529" s="397"/>
      <c r="AG529" s="397"/>
      <c r="AH529" s="397"/>
      <c r="AI529" s="397"/>
      <c r="AJ529" s="397"/>
      <c r="AK529" s="397"/>
      <c r="AL529" s="397"/>
      <c r="AM529" s="397"/>
      <c r="AN529" s="397"/>
      <c r="AO529" s="397"/>
      <c r="AP529" s="397"/>
      <c r="AQ529" s="397"/>
      <c r="AR529" s="397"/>
      <c r="AS529" s="397"/>
    </row>
    <row r="530" spans="1:45" ht="12.75">
      <c r="A530" s="350" t="s">
        <v>2330</v>
      </c>
      <c r="B530" s="350"/>
      <c r="C530" s="350"/>
      <c r="D530" s="350"/>
      <c r="E530" s="350" t="s">
        <v>2287</v>
      </c>
      <c r="F530" s="350"/>
      <c r="G530" s="350"/>
      <c r="H530" s="350" t="s">
        <v>1574</v>
      </c>
      <c r="I530" s="350"/>
      <c r="J530" s="350"/>
      <c r="K530" s="350"/>
      <c r="L530" s="350"/>
      <c r="M530" s="350"/>
      <c r="N530" s="350"/>
      <c r="O530" s="350"/>
      <c r="P530" s="350"/>
      <c r="Q530" s="350"/>
      <c r="R530" s="350"/>
      <c r="S530" s="350" t="s">
        <v>938</v>
      </c>
      <c r="T530" s="350"/>
      <c r="U530" s="350"/>
      <c r="V530" s="350"/>
      <c r="W530" s="350" t="s">
        <v>939</v>
      </c>
      <c r="X530" s="350"/>
      <c r="Y530" s="350"/>
      <c r="Z530" s="350"/>
      <c r="AA530" s="351" t="s">
        <v>1575</v>
      </c>
      <c r="AB530" s="351"/>
      <c r="AC530" s="351"/>
      <c r="AD530" s="351"/>
      <c r="AE530" s="351"/>
      <c r="AF530" s="351"/>
      <c r="AG530" s="351" t="s">
        <v>1576</v>
      </c>
      <c r="AH530" s="351"/>
      <c r="AI530" s="351"/>
      <c r="AJ530" s="351"/>
      <c r="AK530" s="351" t="s">
        <v>2331</v>
      </c>
      <c r="AL530" s="351"/>
      <c r="AM530" s="351"/>
      <c r="AN530" s="351"/>
      <c r="AO530" s="351"/>
      <c r="AP530" s="351"/>
      <c r="AQ530" s="351" t="s">
        <v>2332</v>
      </c>
      <c r="AR530" s="351"/>
      <c r="AS530" s="444" t="s">
        <v>2333</v>
      </c>
    </row>
    <row r="531" spans="1:45" ht="7.5" customHeight="1" thickBot="1">
      <c r="A531" s="398" t="s">
        <v>2334</v>
      </c>
      <c r="B531" s="398"/>
      <c r="C531" s="398"/>
      <c r="D531" s="398"/>
      <c r="E531" s="398" t="s">
        <v>2335</v>
      </c>
      <c r="F531" s="398"/>
      <c r="G531" s="398"/>
      <c r="H531" s="399"/>
      <c r="I531" s="399"/>
      <c r="J531" s="399"/>
      <c r="K531" s="399"/>
      <c r="L531" s="399"/>
      <c r="M531" s="399"/>
      <c r="N531" s="399"/>
      <c r="O531" s="399"/>
      <c r="P531" s="399"/>
      <c r="Q531" s="399"/>
      <c r="R531" s="399"/>
      <c r="S531" s="398" t="s">
        <v>934</v>
      </c>
      <c r="T531" s="398"/>
      <c r="U531" s="398"/>
      <c r="V531" s="398"/>
      <c r="W531" s="398" t="s">
        <v>940</v>
      </c>
      <c r="X531" s="398"/>
      <c r="Y531" s="398"/>
      <c r="Z531" s="398"/>
      <c r="AA531" s="399" t="s">
        <v>1659</v>
      </c>
      <c r="AB531" s="399"/>
      <c r="AC531" s="399"/>
      <c r="AD531" s="399"/>
      <c r="AE531" s="399"/>
      <c r="AF531" s="399"/>
      <c r="AG531" s="399" t="s">
        <v>1729</v>
      </c>
      <c r="AH531" s="399"/>
      <c r="AI531" s="399"/>
      <c r="AJ531" s="399"/>
      <c r="AK531" s="399" t="s">
        <v>2336</v>
      </c>
      <c r="AL531" s="399"/>
      <c r="AM531" s="399"/>
      <c r="AN531" s="399"/>
      <c r="AO531" s="399"/>
      <c r="AP531" s="399"/>
      <c r="AQ531" s="399"/>
      <c r="AR531" s="399"/>
      <c r="AS531" s="445"/>
    </row>
    <row r="532" spans="1:45" ht="4.5" customHeight="1" thickBot="1">
      <c r="A532" s="383"/>
      <c r="B532" s="383"/>
      <c r="C532" s="383"/>
      <c r="D532" s="383"/>
      <c r="E532" s="383"/>
      <c r="F532" s="383"/>
      <c r="G532" s="383"/>
      <c r="H532" s="383"/>
      <c r="I532" s="383"/>
      <c r="J532" s="383"/>
      <c r="K532" s="383"/>
      <c r="L532" s="383"/>
      <c r="M532" s="383"/>
      <c r="N532" s="383"/>
      <c r="O532" s="383"/>
      <c r="P532" s="383"/>
      <c r="Q532" s="383"/>
      <c r="R532" s="383"/>
      <c r="S532" s="383"/>
      <c r="T532" s="383"/>
      <c r="U532" s="383"/>
      <c r="V532" s="383"/>
      <c r="W532" s="383"/>
      <c r="X532" s="383"/>
      <c r="Y532" s="383"/>
      <c r="Z532" s="383"/>
      <c r="AA532" s="383"/>
      <c r="AB532" s="383"/>
      <c r="AC532" s="383"/>
      <c r="AD532" s="383"/>
      <c r="AE532" s="383"/>
      <c r="AF532" s="383"/>
      <c r="AG532" s="383"/>
      <c r="AH532" s="383"/>
      <c r="AI532" s="383"/>
      <c r="AJ532" s="383"/>
      <c r="AK532" s="383"/>
      <c r="AL532" s="383"/>
      <c r="AM532" s="383"/>
      <c r="AN532" s="383"/>
      <c r="AO532" s="383"/>
      <c r="AP532" s="383"/>
      <c r="AQ532" s="383"/>
      <c r="AR532" s="383"/>
      <c r="AS532" s="383"/>
    </row>
    <row r="533" spans="1:45" ht="13.5" thickBot="1">
      <c r="A533" s="410" t="s">
        <v>930</v>
      </c>
      <c r="B533" s="410"/>
      <c r="C533" s="410"/>
      <c r="D533" s="410"/>
      <c r="E533" s="410"/>
      <c r="F533" s="410"/>
      <c r="G533" s="410"/>
      <c r="H533" s="410"/>
      <c r="I533" s="410"/>
      <c r="J533" s="410"/>
      <c r="K533" s="410"/>
      <c r="L533" s="410"/>
      <c r="M533" s="410"/>
      <c r="N533" s="410"/>
      <c r="O533" s="410"/>
      <c r="P533" s="410"/>
      <c r="Q533" s="410"/>
      <c r="R533" s="410"/>
      <c r="S533" s="410"/>
      <c r="T533" s="410"/>
      <c r="U533" s="410"/>
      <c r="V533" s="410"/>
      <c r="W533" s="410"/>
      <c r="X533" s="410"/>
      <c r="Y533" s="410"/>
      <c r="Z533" s="410"/>
      <c r="AA533" s="369"/>
      <c r="AB533" s="369"/>
      <c r="AC533" s="369"/>
      <c r="AD533" s="369"/>
      <c r="AE533" s="369"/>
      <c r="AF533" s="369"/>
      <c r="AG533" s="369"/>
      <c r="AH533" s="369"/>
      <c r="AI533" s="369"/>
      <c r="AJ533" s="369"/>
      <c r="AK533" s="369"/>
      <c r="AL533" s="369"/>
      <c r="AM533" s="369"/>
      <c r="AN533" s="369"/>
      <c r="AO533" s="369"/>
      <c r="AP533" s="369"/>
      <c r="AQ533" s="411" t="s">
        <v>941</v>
      </c>
      <c r="AR533" s="411"/>
      <c r="AS533" s="446" t="s">
        <v>941</v>
      </c>
    </row>
    <row r="534" spans="1:45" ht="13.5" thickBot="1">
      <c r="A534" s="412"/>
      <c r="B534" s="412"/>
      <c r="C534" s="412"/>
      <c r="D534" s="412"/>
      <c r="E534" s="412"/>
      <c r="F534" s="412"/>
      <c r="G534" s="412"/>
      <c r="H534" s="412"/>
      <c r="I534" s="412"/>
      <c r="J534" s="412"/>
      <c r="K534" s="412"/>
      <c r="L534" s="412"/>
      <c r="M534" s="412"/>
      <c r="N534" s="412"/>
      <c r="O534" s="412"/>
      <c r="P534" s="412"/>
      <c r="Q534" s="412"/>
      <c r="R534" s="412"/>
      <c r="S534" s="412"/>
      <c r="T534" s="412"/>
      <c r="U534" s="412"/>
      <c r="V534" s="412"/>
      <c r="W534" s="412"/>
      <c r="X534" s="412"/>
      <c r="Y534" s="412"/>
      <c r="Z534" s="412"/>
      <c r="AA534" s="412"/>
      <c r="AB534" s="412"/>
      <c r="AC534" s="412"/>
      <c r="AD534" s="412"/>
      <c r="AE534" s="412"/>
      <c r="AF534" s="412"/>
      <c r="AG534" s="412"/>
      <c r="AH534" s="412"/>
      <c r="AI534" s="412"/>
      <c r="AJ534" s="412"/>
      <c r="AK534" s="412"/>
      <c r="AL534" s="412"/>
      <c r="AM534" s="412"/>
      <c r="AN534" s="412"/>
      <c r="AO534" s="412"/>
      <c r="AP534" s="412"/>
      <c r="AQ534" s="412"/>
      <c r="AR534" s="412"/>
      <c r="AS534" s="412"/>
    </row>
    <row r="535" spans="1:45" ht="12.75">
      <c r="A535" s="447" t="s">
        <v>943</v>
      </c>
      <c r="B535" s="447"/>
      <c r="C535" s="447"/>
      <c r="D535" s="447"/>
      <c r="E535" s="447"/>
      <c r="F535" s="447"/>
      <c r="G535" s="447"/>
      <c r="H535" s="447"/>
      <c r="I535" s="447"/>
      <c r="J535" s="447"/>
      <c r="K535" s="447"/>
      <c r="L535" s="447"/>
      <c r="M535" s="447"/>
      <c r="N535" s="447"/>
      <c r="O535" s="448" t="s">
        <v>944</v>
      </c>
      <c r="P535" s="448"/>
      <c r="Q535" s="448"/>
      <c r="R535" s="448"/>
      <c r="S535" s="448"/>
      <c r="T535" s="448"/>
      <c r="U535" s="448"/>
      <c r="V535" s="448"/>
      <c r="W535" s="448"/>
      <c r="X535" s="448"/>
      <c r="Y535" s="448"/>
      <c r="Z535" s="448"/>
      <c r="AA535" s="448"/>
      <c r="AB535" s="448"/>
      <c r="AC535" s="448"/>
      <c r="AD535" s="448"/>
      <c r="AE535" s="448"/>
      <c r="AF535" s="448"/>
      <c r="AG535" s="448"/>
      <c r="AH535" s="449" t="s">
        <v>945</v>
      </c>
      <c r="AI535" s="449"/>
      <c r="AJ535" s="449"/>
      <c r="AK535" s="449"/>
      <c r="AL535" s="449"/>
      <c r="AM535" s="449"/>
      <c r="AN535" s="449"/>
      <c r="AO535" s="449"/>
      <c r="AP535" s="449"/>
      <c r="AQ535" s="449"/>
      <c r="AR535" s="449"/>
      <c r="AS535" s="449"/>
    </row>
  </sheetData>
  <mergeCells count="3736">
    <mergeCell ref="A534:AS534"/>
    <mergeCell ref="A535:N535"/>
    <mergeCell ref="O535:AG535"/>
    <mergeCell ref="AH535:AS535"/>
    <mergeCell ref="A532:AS532"/>
    <mergeCell ref="A533:Z533"/>
    <mergeCell ref="AA533:AF533"/>
    <mergeCell ref="AG533:AJ533"/>
    <mergeCell ref="AK533:AP533"/>
    <mergeCell ref="AQ533:AR533"/>
    <mergeCell ref="AQ530:AR530"/>
    <mergeCell ref="A531:D531"/>
    <mergeCell ref="E531:G531"/>
    <mergeCell ref="H531:R531"/>
    <mergeCell ref="S531:V531"/>
    <mergeCell ref="W531:Z531"/>
    <mergeCell ref="AA531:AF531"/>
    <mergeCell ref="AG531:AJ531"/>
    <mergeCell ref="AK531:AP531"/>
    <mergeCell ref="AQ531:AR531"/>
    <mergeCell ref="A528:AS528"/>
    <mergeCell ref="A529:AS529"/>
    <mergeCell ref="A530:D530"/>
    <mergeCell ref="E530:G530"/>
    <mergeCell ref="H530:R530"/>
    <mergeCell ref="S530:V530"/>
    <mergeCell ref="W530:Z530"/>
    <mergeCell ref="AA530:AF530"/>
    <mergeCell ref="AG530:AJ530"/>
    <mergeCell ref="AK530:AP530"/>
    <mergeCell ref="AQ525:AR525"/>
    <mergeCell ref="A526:AS526"/>
    <mergeCell ref="A527:Z527"/>
    <mergeCell ref="AA527:AF527"/>
    <mergeCell ref="AG527:AJ527"/>
    <mergeCell ref="AK527:AP527"/>
    <mergeCell ref="AQ527:AR527"/>
    <mergeCell ref="W525:Z525"/>
    <mergeCell ref="AA525:AF525"/>
    <mergeCell ref="AG525:AJ525"/>
    <mergeCell ref="AK525:AP525"/>
    <mergeCell ref="A525:D525"/>
    <mergeCell ref="E525:G525"/>
    <mergeCell ref="H525:R525"/>
    <mergeCell ref="S525:V525"/>
    <mergeCell ref="A523:AS523"/>
    <mergeCell ref="A524:D524"/>
    <mergeCell ref="E524:G524"/>
    <mergeCell ref="H524:R524"/>
    <mergeCell ref="S524:V524"/>
    <mergeCell ref="W524:Z524"/>
    <mergeCell ref="AA524:AF524"/>
    <mergeCell ref="AG524:AJ524"/>
    <mergeCell ref="AK524:AP524"/>
    <mergeCell ref="AQ524:AR524"/>
    <mergeCell ref="AM520:AS520"/>
    <mergeCell ref="A521:AS521"/>
    <mergeCell ref="A522:E522"/>
    <mergeCell ref="F522:W522"/>
    <mergeCell ref="X522:AA522"/>
    <mergeCell ref="AB522:AC522"/>
    <mergeCell ref="AD522:AL522"/>
    <mergeCell ref="AM522:AS522"/>
    <mergeCell ref="A520:W520"/>
    <mergeCell ref="X520:AA520"/>
    <mergeCell ref="AB520:AC520"/>
    <mergeCell ref="AD520:AL520"/>
    <mergeCell ref="A517:AS517"/>
    <mergeCell ref="A518:AS518"/>
    <mergeCell ref="A519:E519"/>
    <mergeCell ref="F519:R519"/>
    <mergeCell ref="S519:AA519"/>
    <mergeCell ref="AB519:AC519"/>
    <mergeCell ref="AD519:AL519"/>
    <mergeCell ref="AM519:AS519"/>
    <mergeCell ref="A515:E515"/>
    <mergeCell ref="F515:AL515"/>
    <mergeCell ref="AM515:AS515"/>
    <mergeCell ref="A516:AL516"/>
    <mergeCell ref="AM516:AS516"/>
    <mergeCell ref="A513:E513"/>
    <mergeCell ref="F513:AL513"/>
    <mergeCell ref="AM513:AS513"/>
    <mergeCell ref="A514:E514"/>
    <mergeCell ref="F514:AA514"/>
    <mergeCell ref="AB514:AC514"/>
    <mergeCell ref="AD514:AL514"/>
    <mergeCell ref="AM514:AS514"/>
    <mergeCell ref="A511:E511"/>
    <mergeCell ref="F511:AL511"/>
    <mergeCell ref="AM511:AS511"/>
    <mergeCell ref="A512:E512"/>
    <mergeCell ref="F512:AA512"/>
    <mergeCell ref="AB512:AC512"/>
    <mergeCell ref="AD512:AL512"/>
    <mergeCell ref="AM512:AS512"/>
    <mergeCell ref="A509:E509"/>
    <mergeCell ref="F509:AL509"/>
    <mergeCell ref="AM509:AS509"/>
    <mergeCell ref="A510:E510"/>
    <mergeCell ref="F510:AA510"/>
    <mergeCell ref="AB510:AC510"/>
    <mergeCell ref="AD510:AL510"/>
    <mergeCell ref="AM510:AS510"/>
    <mergeCell ref="A507:E507"/>
    <mergeCell ref="F507:AL507"/>
    <mergeCell ref="AM507:AS507"/>
    <mergeCell ref="A508:E508"/>
    <mergeCell ref="F508:AA508"/>
    <mergeCell ref="AB508:AC508"/>
    <mergeCell ref="AD508:AL508"/>
    <mergeCell ref="AM508:AS508"/>
    <mergeCell ref="AF504:AP504"/>
    <mergeCell ref="AQ504:AS504"/>
    <mergeCell ref="A505:AS505"/>
    <mergeCell ref="A506:E506"/>
    <mergeCell ref="F506:AA506"/>
    <mergeCell ref="AB506:AC506"/>
    <mergeCell ref="AD506:AL506"/>
    <mergeCell ref="AM506:AS506"/>
    <mergeCell ref="A504:W504"/>
    <mergeCell ref="X504:AA504"/>
    <mergeCell ref="AB504:AC504"/>
    <mergeCell ref="AD504:AE504"/>
    <mergeCell ref="A501:AS501"/>
    <mergeCell ref="A502:AS502"/>
    <mergeCell ref="A503:E503"/>
    <mergeCell ref="F503:R503"/>
    <mergeCell ref="S503:AA503"/>
    <mergeCell ref="AB503:AC503"/>
    <mergeCell ref="AD503:AL503"/>
    <mergeCell ref="AM503:AS503"/>
    <mergeCell ref="AF500:AI500"/>
    <mergeCell ref="AJ500:AO500"/>
    <mergeCell ref="AP500:AQ500"/>
    <mergeCell ref="AR500:AS500"/>
    <mergeCell ref="B500:E500"/>
    <mergeCell ref="F500:S500"/>
    <mergeCell ref="T500:Y500"/>
    <mergeCell ref="Z500:AE500"/>
    <mergeCell ref="AF499:AI499"/>
    <mergeCell ref="AJ499:AO499"/>
    <mergeCell ref="AP499:AQ499"/>
    <mergeCell ref="AR499:AS499"/>
    <mergeCell ref="B499:E499"/>
    <mergeCell ref="F499:S499"/>
    <mergeCell ref="T499:Y499"/>
    <mergeCell ref="Z499:AE499"/>
    <mergeCell ref="AF498:AI498"/>
    <mergeCell ref="AJ498:AO498"/>
    <mergeCell ref="AP498:AQ498"/>
    <mergeCell ref="AR498:AS498"/>
    <mergeCell ref="B498:E498"/>
    <mergeCell ref="F498:S498"/>
    <mergeCell ref="T498:Y498"/>
    <mergeCell ref="Z498:AE498"/>
    <mergeCell ref="AF497:AI497"/>
    <mergeCell ref="AJ497:AO497"/>
    <mergeCell ref="AP497:AQ497"/>
    <mergeCell ref="AR497:AS497"/>
    <mergeCell ref="B497:E497"/>
    <mergeCell ref="F497:S497"/>
    <mergeCell ref="T497:Y497"/>
    <mergeCell ref="Z497:AE497"/>
    <mergeCell ref="AF496:AI496"/>
    <mergeCell ref="AJ496:AO496"/>
    <mergeCell ref="AP496:AQ496"/>
    <mergeCell ref="AR496:AS496"/>
    <mergeCell ref="B496:E496"/>
    <mergeCell ref="F496:S496"/>
    <mergeCell ref="T496:Y496"/>
    <mergeCell ref="Z496:AE496"/>
    <mergeCell ref="B494:AS494"/>
    <mergeCell ref="B495:E495"/>
    <mergeCell ref="F495:S495"/>
    <mergeCell ref="T495:Y495"/>
    <mergeCell ref="Z495:AE495"/>
    <mergeCell ref="AF495:AI495"/>
    <mergeCell ref="AJ495:AO495"/>
    <mergeCell ref="AP495:AQ495"/>
    <mergeCell ref="AR495:AS495"/>
    <mergeCell ref="AF493:AI493"/>
    <mergeCell ref="AJ493:AO493"/>
    <mergeCell ref="AP493:AQ493"/>
    <mergeCell ref="AR493:AS493"/>
    <mergeCell ref="A493:E493"/>
    <mergeCell ref="F493:S493"/>
    <mergeCell ref="T493:Y493"/>
    <mergeCell ref="Z493:AE493"/>
    <mergeCell ref="AF492:AI492"/>
    <mergeCell ref="AJ492:AO492"/>
    <mergeCell ref="AP492:AQ492"/>
    <mergeCell ref="AR492:AS492"/>
    <mergeCell ref="B492:E492"/>
    <mergeCell ref="F492:S492"/>
    <mergeCell ref="T492:Y492"/>
    <mergeCell ref="Z492:AE492"/>
    <mergeCell ref="AF491:AI491"/>
    <mergeCell ref="AJ491:AO491"/>
    <mergeCell ref="AP491:AQ491"/>
    <mergeCell ref="AR491:AS491"/>
    <mergeCell ref="B491:E491"/>
    <mergeCell ref="F491:S491"/>
    <mergeCell ref="T491:Y491"/>
    <mergeCell ref="Z491:AE491"/>
    <mergeCell ref="AF490:AI490"/>
    <mergeCell ref="AJ490:AO490"/>
    <mergeCell ref="AP490:AQ490"/>
    <mergeCell ref="AR490:AS490"/>
    <mergeCell ref="B490:E490"/>
    <mergeCell ref="F490:S490"/>
    <mergeCell ref="T490:Y490"/>
    <mergeCell ref="Z490:AE490"/>
    <mergeCell ref="AF489:AI489"/>
    <mergeCell ref="AJ489:AO489"/>
    <mergeCell ref="AP489:AQ489"/>
    <mergeCell ref="AR489:AS489"/>
    <mergeCell ref="B489:E489"/>
    <mergeCell ref="F489:S489"/>
    <mergeCell ref="T489:Y489"/>
    <mergeCell ref="Z489:AE489"/>
    <mergeCell ref="AF488:AI488"/>
    <mergeCell ref="AJ488:AO488"/>
    <mergeCell ref="AP488:AQ488"/>
    <mergeCell ref="AR488:AS488"/>
    <mergeCell ref="B488:E488"/>
    <mergeCell ref="F488:S488"/>
    <mergeCell ref="T488:Y488"/>
    <mergeCell ref="Z488:AE488"/>
    <mergeCell ref="AF487:AI487"/>
    <mergeCell ref="AJ487:AO487"/>
    <mergeCell ref="AP487:AQ487"/>
    <mergeCell ref="AR487:AS487"/>
    <mergeCell ref="B487:E487"/>
    <mergeCell ref="F487:S487"/>
    <mergeCell ref="T487:Y487"/>
    <mergeCell ref="Z487:AE487"/>
    <mergeCell ref="AF486:AI486"/>
    <mergeCell ref="AJ486:AO486"/>
    <mergeCell ref="AP486:AQ486"/>
    <mergeCell ref="AR486:AS486"/>
    <mergeCell ref="B486:E486"/>
    <mergeCell ref="F486:S486"/>
    <mergeCell ref="T486:Y486"/>
    <mergeCell ref="Z486:AE486"/>
    <mergeCell ref="AF485:AI485"/>
    <mergeCell ref="AJ485:AO485"/>
    <mergeCell ref="AP485:AQ485"/>
    <mergeCell ref="AR485:AS485"/>
    <mergeCell ref="B485:E485"/>
    <mergeCell ref="F485:S485"/>
    <mergeCell ref="T485:Y485"/>
    <mergeCell ref="Z485:AE485"/>
    <mergeCell ref="AJ483:AO483"/>
    <mergeCell ref="AP483:AQ483"/>
    <mergeCell ref="AR483:AS483"/>
    <mergeCell ref="A484:AS484"/>
    <mergeCell ref="A483:Q483"/>
    <mergeCell ref="R483:Y483"/>
    <mergeCell ref="Z483:AE483"/>
    <mergeCell ref="AF483:AI483"/>
    <mergeCell ref="B481:AS481"/>
    <mergeCell ref="A482:Q482"/>
    <mergeCell ref="R482:Y482"/>
    <mergeCell ref="Z482:AE482"/>
    <mergeCell ref="AF482:AI482"/>
    <mergeCell ref="AJ482:AO482"/>
    <mergeCell ref="AP482:AQ482"/>
    <mergeCell ref="AR482:AS482"/>
    <mergeCell ref="AF480:AI480"/>
    <mergeCell ref="AJ480:AO480"/>
    <mergeCell ref="AP480:AQ480"/>
    <mergeCell ref="AR480:AS480"/>
    <mergeCell ref="A480:E480"/>
    <mergeCell ref="F480:S480"/>
    <mergeCell ref="T480:Y480"/>
    <mergeCell ref="Z480:AE480"/>
    <mergeCell ref="AF479:AI479"/>
    <mergeCell ref="AJ479:AO479"/>
    <mergeCell ref="AP479:AQ479"/>
    <mergeCell ref="AR479:AS479"/>
    <mergeCell ref="B479:E479"/>
    <mergeCell ref="F479:S479"/>
    <mergeCell ref="T479:Y479"/>
    <mergeCell ref="Z479:AE479"/>
    <mergeCell ref="AF478:AI478"/>
    <mergeCell ref="AJ478:AO478"/>
    <mergeCell ref="AP478:AQ478"/>
    <mergeCell ref="AR478:AS478"/>
    <mergeCell ref="B478:E478"/>
    <mergeCell ref="F478:S478"/>
    <mergeCell ref="T478:Y478"/>
    <mergeCell ref="Z478:AE478"/>
    <mergeCell ref="B476:AS476"/>
    <mergeCell ref="B477:E477"/>
    <mergeCell ref="F477:S477"/>
    <mergeCell ref="T477:Y477"/>
    <mergeCell ref="Z477:AE477"/>
    <mergeCell ref="AF477:AI477"/>
    <mergeCell ref="AJ477:AO477"/>
    <mergeCell ref="AP477:AQ477"/>
    <mergeCell ref="AR477:AS477"/>
    <mergeCell ref="AF475:AI475"/>
    <mergeCell ref="AJ475:AO475"/>
    <mergeCell ref="AP475:AQ475"/>
    <mergeCell ref="AR475:AS475"/>
    <mergeCell ref="A475:E475"/>
    <mergeCell ref="F475:S475"/>
    <mergeCell ref="T475:Y475"/>
    <mergeCell ref="Z475:AE475"/>
    <mergeCell ref="AF474:AI474"/>
    <mergeCell ref="AJ474:AO474"/>
    <mergeCell ref="AP474:AQ474"/>
    <mergeCell ref="AR474:AS474"/>
    <mergeCell ref="B474:E474"/>
    <mergeCell ref="F474:S474"/>
    <mergeCell ref="T474:Y474"/>
    <mergeCell ref="Z474:AE474"/>
    <mergeCell ref="AF473:AI473"/>
    <mergeCell ref="AJ473:AO473"/>
    <mergeCell ref="AP473:AQ473"/>
    <mergeCell ref="AR473:AS473"/>
    <mergeCell ref="B473:E473"/>
    <mergeCell ref="F473:S473"/>
    <mergeCell ref="T473:Y473"/>
    <mergeCell ref="Z473:AE473"/>
    <mergeCell ref="AF472:AI472"/>
    <mergeCell ref="AJ472:AO472"/>
    <mergeCell ref="AP472:AQ472"/>
    <mergeCell ref="AR472:AS472"/>
    <mergeCell ref="B472:E472"/>
    <mergeCell ref="F472:S472"/>
    <mergeCell ref="T472:Y472"/>
    <mergeCell ref="Z472:AE472"/>
    <mergeCell ref="AF471:AI471"/>
    <mergeCell ref="AJ471:AO471"/>
    <mergeCell ref="AP471:AQ471"/>
    <mergeCell ref="AR471:AS471"/>
    <mergeCell ref="B471:E471"/>
    <mergeCell ref="F471:S471"/>
    <mergeCell ref="T471:Y471"/>
    <mergeCell ref="Z471:AE471"/>
    <mergeCell ref="AF470:AI470"/>
    <mergeCell ref="AJ470:AO470"/>
    <mergeCell ref="AP470:AQ470"/>
    <mergeCell ref="AR470:AS470"/>
    <mergeCell ref="B470:E470"/>
    <mergeCell ref="F470:S470"/>
    <mergeCell ref="T470:Y470"/>
    <mergeCell ref="Z470:AE470"/>
    <mergeCell ref="AF469:AI469"/>
    <mergeCell ref="AJ469:AO469"/>
    <mergeCell ref="AP469:AQ469"/>
    <mergeCell ref="AR469:AS469"/>
    <mergeCell ref="B469:E469"/>
    <mergeCell ref="F469:S469"/>
    <mergeCell ref="T469:Y469"/>
    <mergeCell ref="Z469:AE469"/>
    <mergeCell ref="AF468:AI468"/>
    <mergeCell ref="AJ468:AO468"/>
    <mergeCell ref="AP468:AQ468"/>
    <mergeCell ref="AR468:AS468"/>
    <mergeCell ref="B468:E468"/>
    <mergeCell ref="F468:S468"/>
    <mergeCell ref="T468:Y468"/>
    <mergeCell ref="Z468:AE468"/>
    <mergeCell ref="B466:AS466"/>
    <mergeCell ref="B467:E467"/>
    <mergeCell ref="F467:S467"/>
    <mergeCell ref="T467:Y467"/>
    <mergeCell ref="Z467:AE467"/>
    <mergeCell ref="AF467:AI467"/>
    <mergeCell ref="AJ467:AO467"/>
    <mergeCell ref="AP467:AQ467"/>
    <mergeCell ref="AR467:AS467"/>
    <mergeCell ref="AF465:AI465"/>
    <mergeCell ref="AJ465:AO465"/>
    <mergeCell ref="AP465:AQ465"/>
    <mergeCell ref="AR465:AS465"/>
    <mergeCell ref="A465:E465"/>
    <mergeCell ref="F465:S465"/>
    <mergeCell ref="T465:Y465"/>
    <mergeCell ref="Z465:AE465"/>
    <mergeCell ref="AF464:AI464"/>
    <mergeCell ref="AJ464:AO464"/>
    <mergeCell ref="AP464:AQ464"/>
    <mergeCell ref="AR464:AS464"/>
    <mergeCell ref="B464:E464"/>
    <mergeCell ref="F464:S464"/>
    <mergeCell ref="T464:Y464"/>
    <mergeCell ref="Z464:AE464"/>
    <mergeCell ref="AF463:AI463"/>
    <mergeCell ref="AJ463:AO463"/>
    <mergeCell ref="AP463:AQ463"/>
    <mergeCell ref="AR463:AS463"/>
    <mergeCell ref="B463:E463"/>
    <mergeCell ref="F463:S463"/>
    <mergeCell ref="T463:Y463"/>
    <mergeCell ref="Z463:AE463"/>
    <mergeCell ref="AF462:AI462"/>
    <mergeCell ref="AJ462:AO462"/>
    <mergeCell ref="AP462:AQ462"/>
    <mergeCell ref="AR462:AS462"/>
    <mergeCell ref="B462:E462"/>
    <mergeCell ref="F462:S462"/>
    <mergeCell ref="T462:Y462"/>
    <mergeCell ref="Z462:AE462"/>
    <mergeCell ref="B460:AS460"/>
    <mergeCell ref="B461:E461"/>
    <mergeCell ref="F461:S461"/>
    <mergeCell ref="T461:Y461"/>
    <mergeCell ref="Z461:AE461"/>
    <mergeCell ref="AF461:AI461"/>
    <mergeCell ref="AJ461:AO461"/>
    <mergeCell ref="AP461:AQ461"/>
    <mergeCell ref="AR461:AS461"/>
    <mergeCell ref="AF459:AI459"/>
    <mergeCell ref="AJ459:AO459"/>
    <mergeCell ref="AP459:AQ459"/>
    <mergeCell ref="AR459:AS459"/>
    <mergeCell ref="A459:E459"/>
    <mergeCell ref="F459:S459"/>
    <mergeCell ref="T459:Y459"/>
    <mergeCell ref="Z459:AE459"/>
    <mergeCell ref="AF458:AI458"/>
    <mergeCell ref="AJ458:AO458"/>
    <mergeCell ref="AP458:AQ458"/>
    <mergeCell ref="AR458:AS458"/>
    <mergeCell ref="B458:E458"/>
    <mergeCell ref="F458:S458"/>
    <mergeCell ref="T458:Y458"/>
    <mergeCell ref="Z458:AE458"/>
    <mergeCell ref="AF457:AI457"/>
    <mergeCell ref="AJ457:AO457"/>
    <mergeCell ref="AP457:AQ457"/>
    <mergeCell ref="AR457:AS457"/>
    <mergeCell ref="B457:E457"/>
    <mergeCell ref="F457:S457"/>
    <mergeCell ref="T457:Y457"/>
    <mergeCell ref="Z457:AE457"/>
    <mergeCell ref="AF456:AI456"/>
    <mergeCell ref="AJ456:AO456"/>
    <mergeCell ref="AP456:AQ456"/>
    <mergeCell ref="AR456:AS456"/>
    <mergeCell ref="B456:E456"/>
    <mergeCell ref="F456:S456"/>
    <mergeCell ref="T456:Y456"/>
    <mergeCell ref="Z456:AE456"/>
    <mergeCell ref="AF455:AI455"/>
    <mergeCell ref="AJ455:AO455"/>
    <mergeCell ref="AP455:AQ455"/>
    <mergeCell ref="AR455:AS455"/>
    <mergeCell ref="B455:E455"/>
    <mergeCell ref="F455:S455"/>
    <mergeCell ref="T455:Y455"/>
    <mergeCell ref="Z455:AE455"/>
    <mergeCell ref="B453:AS453"/>
    <mergeCell ref="B454:E454"/>
    <mergeCell ref="F454:S454"/>
    <mergeCell ref="T454:Y454"/>
    <mergeCell ref="Z454:AE454"/>
    <mergeCell ref="AF454:AI454"/>
    <mergeCell ref="AJ454:AO454"/>
    <mergeCell ref="AP454:AQ454"/>
    <mergeCell ref="AR454:AS454"/>
    <mergeCell ref="AF452:AI452"/>
    <mergeCell ref="AJ452:AO452"/>
    <mergeCell ref="AP452:AQ452"/>
    <mergeCell ref="AR452:AS452"/>
    <mergeCell ref="A452:E452"/>
    <mergeCell ref="F452:S452"/>
    <mergeCell ref="T452:Y452"/>
    <mergeCell ref="Z452:AE452"/>
    <mergeCell ref="AF451:AI451"/>
    <mergeCell ref="AJ451:AO451"/>
    <mergeCell ref="AP451:AQ451"/>
    <mergeCell ref="AR451:AS451"/>
    <mergeCell ref="B451:E451"/>
    <mergeCell ref="F451:S451"/>
    <mergeCell ref="T451:Y451"/>
    <mergeCell ref="Z451:AE451"/>
    <mergeCell ref="B449:AS449"/>
    <mergeCell ref="B450:E450"/>
    <mergeCell ref="F450:S450"/>
    <mergeCell ref="T450:Y450"/>
    <mergeCell ref="Z450:AE450"/>
    <mergeCell ref="AF450:AI450"/>
    <mergeCell ref="AJ450:AO450"/>
    <mergeCell ref="AP450:AQ450"/>
    <mergeCell ref="AR450:AS450"/>
    <mergeCell ref="AF448:AI448"/>
    <mergeCell ref="AJ448:AO448"/>
    <mergeCell ref="AP448:AQ448"/>
    <mergeCell ref="AR448:AS448"/>
    <mergeCell ref="A448:E448"/>
    <mergeCell ref="F448:S448"/>
    <mergeCell ref="T448:Y448"/>
    <mergeCell ref="Z448:AE448"/>
    <mergeCell ref="AF447:AI447"/>
    <mergeCell ref="AJ447:AO447"/>
    <mergeCell ref="AP447:AQ447"/>
    <mergeCell ref="AR447:AS447"/>
    <mergeCell ref="B447:E447"/>
    <mergeCell ref="F447:S447"/>
    <mergeCell ref="T447:Y447"/>
    <mergeCell ref="Z447:AE447"/>
    <mergeCell ref="AF446:AI446"/>
    <mergeCell ref="AJ446:AO446"/>
    <mergeCell ref="AP446:AQ446"/>
    <mergeCell ref="AR446:AS446"/>
    <mergeCell ref="B446:E446"/>
    <mergeCell ref="F446:S446"/>
    <mergeCell ref="T446:Y446"/>
    <mergeCell ref="Z446:AE446"/>
    <mergeCell ref="AF445:AI445"/>
    <mergeCell ref="AJ445:AO445"/>
    <mergeCell ref="AP445:AQ445"/>
    <mergeCell ref="AR445:AS445"/>
    <mergeCell ref="B445:E445"/>
    <mergeCell ref="F445:S445"/>
    <mergeCell ref="T445:Y445"/>
    <mergeCell ref="Z445:AE445"/>
    <mergeCell ref="AF444:AI444"/>
    <mergeCell ref="AJ444:AO444"/>
    <mergeCell ref="AP444:AQ444"/>
    <mergeCell ref="AR444:AS444"/>
    <mergeCell ref="B444:E444"/>
    <mergeCell ref="F444:S444"/>
    <mergeCell ref="T444:Y444"/>
    <mergeCell ref="Z444:AE444"/>
    <mergeCell ref="B442:AS442"/>
    <mergeCell ref="B443:E443"/>
    <mergeCell ref="F443:S443"/>
    <mergeCell ref="T443:Y443"/>
    <mergeCell ref="Z443:AE443"/>
    <mergeCell ref="AF443:AI443"/>
    <mergeCell ref="AJ443:AO443"/>
    <mergeCell ref="AP443:AQ443"/>
    <mergeCell ref="AR443:AS443"/>
    <mergeCell ref="AF441:AI441"/>
    <mergeCell ref="AJ441:AO441"/>
    <mergeCell ref="AP441:AQ441"/>
    <mergeCell ref="AR441:AS441"/>
    <mergeCell ref="A441:E441"/>
    <mergeCell ref="F441:S441"/>
    <mergeCell ref="T441:Y441"/>
    <mergeCell ref="Z441:AE441"/>
    <mergeCell ref="AJ439:AO439"/>
    <mergeCell ref="AP439:AQ439"/>
    <mergeCell ref="AR439:AS439"/>
    <mergeCell ref="A440:AS440"/>
    <mergeCell ref="A439:Q439"/>
    <mergeCell ref="R439:Y439"/>
    <mergeCell ref="Z439:AE439"/>
    <mergeCell ref="AF439:AI439"/>
    <mergeCell ref="A437:AS437"/>
    <mergeCell ref="A438:Q438"/>
    <mergeCell ref="R438:Y438"/>
    <mergeCell ref="Z438:AE438"/>
    <mergeCell ref="AF438:AI438"/>
    <mergeCell ref="AJ438:AO438"/>
    <mergeCell ref="AP438:AQ438"/>
    <mergeCell ref="AR438:AS438"/>
    <mergeCell ref="AJ435:AO435"/>
    <mergeCell ref="AP435:AS435"/>
    <mergeCell ref="A436:S436"/>
    <mergeCell ref="T436:Y436"/>
    <mergeCell ref="Z436:AE436"/>
    <mergeCell ref="AF436:AI436"/>
    <mergeCell ref="AJ436:AO436"/>
    <mergeCell ref="AP436:AS436"/>
    <mergeCell ref="A435:S435"/>
    <mergeCell ref="T435:Y435"/>
    <mergeCell ref="Z435:AE435"/>
    <mergeCell ref="AF435:AI435"/>
    <mergeCell ref="AJ433:AO433"/>
    <mergeCell ref="AP433:AS433"/>
    <mergeCell ref="A434:S434"/>
    <mergeCell ref="T434:Y434"/>
    <mergeCell ref="Z434:AE434"/>
    <mergeCell ref="AF434:AI434"/>
    <mergeCell ref="AJ434:AO434"/>
    <mergeCell ref="AP434:AS434"/>
    <mergeCell ref="A433:S433"/>
    <mergeCell ref="T433:Y433"/>
    <mergeCell ref="Z433:AE433"/>
    <mergeCell ref="AF433:AI433"/>
    <mergeCell ref="AJ430:AO430"/>
    <mergeCell ref="AP430:AS430"/>
    <mergeCell ref="A431:AS431"/>
    <mergeCell ref="A432:S432"/>
    <mergeCell ref="T432:Y432"/>
    <mergeCell ref="Z432:AE432"/>
    <mergeCell ref="AF432:AI432"/>
    <mergeCell ref="AJ432:AO432"/>
    <mergeCell ref="AP432:AS432"/>
    <mergeCell ref="A430:Q430"/>
    <mergeCell ref="R430:Y430"/>
    <mergeCell ref="Z430:AE430"/>
    <mergeCell ref="AF430:AI430"/>
    <mergeCell ref="A428:AS428"/>
    <mergeCell ref="A429:Q429"/>
    <mergeCell ref="R429:Y429"/>
    <mergeCell ref="Z429:AE429"/>
    <mergeCell ref="AF429:AI429"/>
    <mergeCell ref="AJ429:AO429"/>
    <mergeCell ref="AP429:AS429"/>
    <mergeCell ref="AJ426:AO426"/>
    <mergeCell ref="AP426:AQ426"/>
    <mergeCell ref="AR426:AS426"/>
    <mergeCell ref="A427:AS427"/>
    <mergeCell ref="A426:T426"/>
    <mergeCell ref="U426:Y426"/>
    <mergeCell ref="Z426:AE426"/>
    <mergeCell ref="AF426:AI426"/>
    <mergeCell ref="AR424:AS424"/>
    <mergeCell ref="A425:T425"/>
    <mergeCell ref="U425:Y425"/>
    <mergeCell ref="Z425:AE425"/>
    <mergeCell ref="AF425:AI425"/>
    <mergeCell ref="AJ425:AO425"/>
    <mergeCell ref="AP425:AQ425"/>
    <mergeCell ref="AR425:AS425"/>
    <mergeCell ref="Z424:AE424"/>
    <mergeCell ref="AF424:AI424"/>
    <mergeCell ref="AJ424:AO424"/>
    <mergeCell ref="AP424:AQ424"/>
    <mergeCell ref="A424:B424"/>
    <mergeCell ref="C424:F424"/>
    <mergeCell ref="G424:T424"/>
    <mergeCell ref="U424:Y424"/>
    <mergeCell ref="AJ422:AO422"/>
    <mergeCell ref="AP422:AQ422"/>
    <mergeCell ref="AR422:AS422"/>
    <mergeCell ref="A423:AS423"/>
    <mergeCell ref="A422:T422"/>
    <mergeCell ref="U422:Y422"/>
    <mergeCell ref="Z422:AE422"/>
    <mergeCell ref="AF422:AI422"/>
    <mergeCell ref="AJ420:AO420"/>
    <mergeCell ref="AP420:AQ420"/>
    <mergeCell ref="AR420:AS420"/>
    <mergeCell ref="A421:AS421"/>
    <mergeCell ref="A420:T420"/>
    <mergeCell ref="U420:Y420"/>
    <mergeCell ref="Z420:AE420"/>
    <mergeCell ref="AF420:AI420"/>
    <mergeCell ref="AF419:AI419"/>
    <mergeCell ref="AJ419:AO419"/>
    <mergeCell ref="AP419:AQ419"/>
    <mergeCell ref="AR419:AS419"/>
    <mergeCell ref="B419:F419"/>
    <mergeCell ref="G419:T419"/>
    <mergeCell ref="U419:Y419"/>
    <mergeCell ref="Z419:AE419"/>
    <mergeCell ref="AF418:AI418"/>
    <mergeCell ref="AJ418:AO418"/>
    <mergeCell ref="AP418:AQ418"/>
    <mergeCell ref="AR418:AS418"/>
    <mergeCell ref="B418:F418"/>
    <mergeCell ref="G418:T418"/>
    <mergeCell ref="U418:Y418"/>
    <mergeCell ref="Z418:AE418"/>
    <mergeCell ref="AF417:AI417"/>
    <mergeCell ref="AJ417:AO417"/>
    <mergeCell ref="AP417:AQ417"/>
    <mergeCell ref="AR417:AS417"/>
    <mergeCell ref="B417:F417"/>
    <mergeCell ref="G417:T417"/>
    <mergeCell ref="U417:Y417"/>
    <mergeCell ref="Z417:AE417"/>
    <mergeCell ref="AF416:AI416"/>
    <mergeCell ref="AJ416:AO416"/>
    <mergeCell ref="AP416:AQ416"/>
    <mergeCell ref="AR416:AS416"/>
    <mergeCell ref="B416:F416"/>
    <mergeCell ref="G416:T416"/>
    <mergeCell ref="U416:Y416"/>
    <mergeCell ref="Z416:AE416"/>
    <mergeCell ref="AF415:AI415"/>
    <mergeCell ref="AJ415:AO415"/>
    <mergeCell ref="AP415:AQ415"/>
    <mergeCell ref="AR415:AS415"/>
    <mergeCell ref="B415:F415"/>
    <mergeCell ref="G415:T415"/>
    <mergeCell ref="U415:Y415"/>
    <mergeCell ref="Z415:AE415"/>
    <mergeCell ref="AF414:AI414"/>
    <mergeCell ref="AJ414:AO414"/>
    <mergeCell ref="AP414:AQ414"/>
    <mergeCell ref="AR414:AS414"/>
    <mergeCell ref="B414:F414"/>
    <mergeCell ref="G414:T414"/>
    <mergeCell ref="U414:Y414"/>
    <mergeCell ref="Z414:AE414"/>
    <mergeCell ref="AF413:AI413"/>
    <mergeCell ref="AJ413:AO413"/>
    <mergeCell ref="AP413:AQ413"/>
    <mergeCell ref="AR413:AS413"/>
    <mergeCell ref="B413:F413"/>
    <mergeCell ref="G413:T413"/>
    <mergeCell ref="U413:Y413"/>
    <mergeCell ref="Z413:AE413"/>
    <mergeCell ref="AF412:AI412"/>
    <mergeCell ref="AJ412:AO412"/>
    <mergeCell ref="AP412:AQ412"/>
    <mergeCell ref="AR412:AS412"/>
    <mergeCell ref="B412:F412"/>
    <mergeCell ref="G412:T412"/>
    <mergeCell ref="U412:Y412"/>
    <mergeCell ref="Z412:AE412"/>
    <mergeCell ref="AF411:AI411"/>
    <mergeCell ref="AJ411:AO411"/>
    <mergeCell ref="AP411:AQ411"/>
    <mergeCell ref="AR411:AS411"/>
    <mergeCell ref="B411:F411"/>
    <mergeCell ref="G411:T411"/>
    <mergeCell ref="U411:Y411"/>
    <mergeCell ref="Z411:AE411"/>
    <mergeCell ref="AF410:AI410"/>
    <mergeCell ref="AJ410:AO410"/>
    <mergeCell ref="AP410:AQ410"/>
    <mergeCell ref="AR410:AS410"/>
    <mergeCell ref="B410:F410"/>
    <mergeCell ref="G410:T410"/>
    <mergeCell ref="U410:Y410"/>
    <mergeCell ref="Z410:AE410"/>
    <mergeCell ref="AF409:AI409"/>
    <mergeCell ref="AJ409:AO409"/>
    <mergeCell ref="AP409:AQ409"/>
    <mergeCell ref="AR409:AS409"/>
    <mergeCell ref="B409:F409"/>
    <mergeCell ref="G409:T409"/>
    <mergeCell ref="U409:Y409"/>
    <mergeCell ref="Z409:AE409"/>
    <mergeCell ref="AF408:AI408"/>
    <mergeCell ref="AJ408:AO408"/>
    <mergeCell ref="AP408:AQ408"/>
    <mergeCell ref="AR408:AS408"/>
    <mergeCell ref="B408:F408"/>
    <mergeCell ref="G408:T408"/>
    <mergeCell ref="U408:Y408"/>
    <mergeCell ref="Z408:AE408"/>
    <mergeCell ref="AF407:AI407"/>
    <mergeCell ref="AJ407:AO407"/>
    <mergeCell ref="AP407:AQ407"/>
    <mergeCell ref="AR407:AS407"/>
    <mergeCell ref="B407:F407"/>
    <mergeCell ref="G407:T407"/>
    <mergeCell ref="U407:Y407"/>
    <mergeCell ref="Z407:AE407"/>
    <mergeCell ref="AF406:AI406"/>
    <mergeCell ref="AJ406:AO406"/>
    <mergeCell ref="AP406:AQ406"/>
    <mergeCell ref="AR406:AS406"/>
    <mergeCell ref="B406:F406"/>
    <mergeCell ref="G406:T406"/>
    <mergeCell ref="U406:Y406"/>
    <mergeCell ref="Z406:AE406"/>
    <mergeCell ref="AF405:AI405"/>
    <mergeCell ref="AJ405:AO405"/>
    <mergeCell ref="AP405:AQ405"/>
    <mergeCell ref="AR405:AS405"/>
    <mergeCell ref="B405:F405"/>
    <mergeCell ref="G405:T405"/>
    <mergeCell ref="U405:Y405"/>
    <mergeCell ref="Z405:AE405"/>
    <mergeCell ref="AF404:AI404"/>
    <mergeCell ref="AJ404:AO404"/>
    <mergeCell ref="AP404:AQ404"/>
    <mergeCell ref="AR404:AS404"/>
    <mergeCell ref="B404:F404"/>
    <mergeCell ref="G404:T404"/>
    <mergeCell ref="U404:Y404"/>
    <mergeCell ref="Z404:AE404"/>
    <mergeCell ref="AF403:AI403"/>
    <mergeCell ref="AJ403:AO403"/>
    <mergeCell ref="AP403:AQ403"/>
    <mergeCell ref="AR403:AS403"/>
    <mergeCell ref="B403:F403"/>
    <mergeCell ref="G403:T403"/>
    <mergeCell ref="U403:Y403"/>
    <mergeCell ref="Z403:AE403"/>
    <mergeCell ref="AF402:AI402"/>
    <mergeCell ref="AJ402:AO402"/>
    <mergeCell ref="AP402:AQ402"/>
    <mergeCell ref="AR402:AS402"/>
    <mergeCell ref="B402:F402"/>
    <mergeCell ref="G402:T402"/>
    <mergeCell ref="U402:Y402"/>
    <mergeCell ref="Z402:AE402"/>
    <mergeCell ref="AF401:AI401"/>
    <mergeCell ref="AJ401:AO401"/>
    <mergeCell ref="AP401:AQ401"/>
    <mergeCell ref="AR401:AS401"/>
    <mergeCell ref="B401:F401"/>
    <mergeCell ref="G401:T401"/>
    <mergeCell ref="U401:Y401"/>
    <mergeCell ref="Z401:AE401"/>
    <mergeCell ref="AF400:AI400"/>
    <mergeCell ref="AJ400:AO400"/>
    <mergeCell ref="AP400:AQ400"/>
    <mergeCell ref="AR400:AS400"/>
    <mergeCell ref="B400:F400"/>
    <mergeCell ref="G400:T400"/>
    <mergeCell ref="U400:Y400"/>
    <mergeCell ref="Z400:AE400"/>
    <mergeCell ref="AF399:AI399"/>
    <mergeCell ref="AJ399:AO399"/>
    <mergeCell ref="AP399:AQ399"/>
    <mergeCell ref="AR399:AS399"/>
    <mergeCell ref="B399:F399"/>
    <mergeCell ref="G399:T399"/>
    <mergeCell ref="U399:Y399"/>
    <mergeCell ref="Z399:AE399"/>
    <mergeCell ref="AF398:AI398"/>
    <mergeCell ref="AJ398:AO398"/>
    <mergeCell ref="AP398:AQ398"/>
    <mergeCell ref="AR398:AS398"/>
    <mergeCell ref="B398:F398"/>
    <mergeCell ref="G398:T398"/>
    <mergeCell ref="U398:Y398"/>
    <mergeCell ref="Z398:AE398"/>
    <mergeCell ref="AF397:AI397"/>
    <mergeCell ref="AJ397:AO397"/>
    <mergeCell ref="AP397:AQ397"/>
    <mergeCell ref="AR397:AS397"/>
    <mergeCell ref="B397:F397"/>
    <mergeCell ref="G397:T397"/>
    <mergeCell ref="U397:Y397"/>
    <mergeCell ref="Z397:AE397"/>
    <mergeCell ref="AF396:AI396"/>
    <mergeCell ref="AJ396:AO396"/>
    <mergeCell ref="AP396:AQ396"/>
    <mergeCell ref="AR396:AS396"/>
    <mergeCell ref="B396:F396"/>
    <mergeCell ref="G396:T396"/>
    <mergeCell ref="U396:Y396"/>
    <mergeCell ref="Z396:AE396"/>
    <mergeCell ref="AF395:AI395"/>
    <mergeCell ref="AJ395:AO395"/>
    <mergeCell ref="AP395:AQ395"/>
    <mergeCell ref="AR395:AS395"/>
    <mergeCell ref="B395:F395"/>
    <mergeCell ref="G395:T395"/>
    <mergeCell ref="U395:Y395"/>
    <mergeCell ref="Z395:AE395"/>
    <mergeCell ref="AF394:AI394"/>
    <mergeCell ref="AJ394:AO394"/>
    <mergeCell ref="AP394:AQ394"/>
    <mergeCell ref="AR394:AS394"/>
    <mergeCell ref="B394:F394"/>
    <mergeCell ref="G394:T394"/>
    <mergeCell ref="U394:Y394"/>
    <mergeCell ref="Z394:AE394"/>
    <mergeCell ref="A392:B392"/>
    <mergeCell ref="C392:AS392"/>
    <mergeCell ref="B393:F393"/>
    <mergeCell ref="G393:T393"/>
    <mergeCell ref="U393:Y393"/>
    <mergeCell ref="Z393:AE393"/>
    <mergeCell ref="AF393:AI393"/>
    <mergeCell ref="AJ393:AO393"/>
    <mergeCell ref="AP393:AQ393"/>
    <mergeCell ref="AR393:AS393"/>
    <mergeCell ref="AJ390:AO390"/>
    <mergeCell ref="AP390:AQ390"/>
    <mergeCell ref="AR390:AS390"/>
    <mergeCell ref="A391:T391"/>
    <mergeCell ref="U391:Y391"/>
    <mergeCell ref="Z391:AE391"/>
    <mergeCell ref="AF391:AI391"/>
    <mergeCell ref="AJ391:AO391"/>
    <mergeCell ref="AP391:AQ391"/>
    <mergeCell ref="AR391:AS391"/>
    <mergeCell ref="A390:T390"/>
    <mergeCell ref="U390:Y390"/>
    <mergeCell ref="Z390:AE390"/>
    <mergeCell ref="AF390:AI390"/>
    <mergeCell ref="AR388:AS388"/>
    <mergeCell ref="A389:B389"/>
    <mergeCell ref="C389:F389"/>
    <mergeCell ref="G389:T389"/>
    <mergeCell ref="U389:Y389"/>
    <mergeCell ref="Z389:AE389"/>
    <mergeCell ref="AF389:AI389"/>
    <mergeCell ref="AJ389:AO389"/>
    <mergeCell ref="AP389:AQ389"/>
    <mergeCell ref="AR389:AS389"/>
    <mergeCell ref="Z388:AE388"/>
    <mergeCell ref="AF388:AI388"/>
    <mergeCell ref="AJ388:AO388"/>
    <mergeCell ref="AP388:AQ388"/>
    <mergeCell ref="A388:B388"/>
    <mergeCell ref="C388:F388"/>
    <mergeCell ref="G388:T388"/>
    <mergeCell ref="U388:Y388"/>
    <mergeCell ref="AJ386:AO386"/>
    <mergeCell ref="AP386:AQ386"/>
    <mergeCell ref="AR386:AS386"/>
    <mergeCell ref="A387:AS387"/>
    <mergeCell ref="A386:T386"/>
    <mergeCell ref="U386:Y386"/>
    <mergeCell ref="Z386:AE386"/>
    <mergeCell ref="AF386:AI386"/>
    <mergeCell ref="AF385:AI385"/>
    <mergeCell ref="AJ385:AO385"/>
    <mergeCell ref="AP385:AQ385"/>
    <mergeCell ref="AR385:AS385"/>
    <mergeCell ref="B385:F385"/>
    <mergeCell ref="G385:T385"/>
    <mergeCell ref="U385:Y385"/>
    <mergeCell ref="Z385:AE385"/>
    <mergeCell ref="AF384:AI384"/>
    <mergeCell ref="AJ384:AO384"/>
    <mergeCell ref="AP384:AQ384"/>
    <mergeCell ref="AR384:AS384"/>
    <mergeCell ref="B384:F384"/>
    <mergeCell ref="G384:T384"/>
    <mergeCell ref="U384:Y384"/>
    <mergeCell ref="Z384:AE384"/>
    <mergeCell ref="AF383:AI383"/>
    <mergeCell ref="AJ383:AO383"/>
    <mergeCell ref="AP383:AQ383"/>
    <mergeCell ref="AR383:AS383"/>
    <mergeCell ref="B383:F383"/>
    <mergeCell ref="G383:T383"/>
    <mergeCell ref="U383:Y383"/>
    <mergeCell ref="Z383:AE383"/>
    <mergeCell ref="A381:AS381"/>
    <mergeCell ref="B382:F382"/>
    <mergeCell ref="G382:T382"/>
    <mergeCell ref="U382:Y382"/>
    <mergeCell ref="Z382:AE382"/>
    <mergeCell ref="AF382:AI382"/>
    <mergeCell ref="AJ382:AO382"/>
    <mergeCell ref="AP382:AQ382"/>
    <mergeCell ref="AR382:AS382"/>
    <mergeCell ref="AJ379:AO379"/>
    <mergeCell ref="AP379:AQ379"/>
    <mergeCell ref="AR379:AS379"/>
    <mergeCell ref="A380:Q380"/>
    <mergeCell ref="R380:Y380"/>
    <mergeCell ref="Z380:AE380"/>
    <mergeCell ref="AF380:AI380"/>
    <mergeCell ref="AJ380:AO380"/>
    <mergeCell ref="AP380:AQ380"/>
    <mergeCell ref="AR380:AS380"/>
    <mergeCell ref="A379:Q379"/>
    <mergeCell ref="R379:Y379"/>
    <mergeCell ref="Z379:AE379"/>
    <mergeCell ref="AF379:AI379"/>
    <mergeCell ref="AF378:AI378"/>
    <mergeCell ref="AJ378:AO378"/>
    <mergeCell ref="AP378:AQ378"/>
    <mergeCell ref="AR378:AS378"/>
    <mergeCell ref="B378:F378"/>
    <mergeCell ref="G378:T378"/>
    <mergeCell ref="U378:Y378"/>
    <mergeCell ref="Z378:AE378"/>
    <mergeCell ref="AF377:AI377"/>
    <mergeCell ref="AJ377:AO377"/>
    <mergeCell ref="AP377:AQ377"/>
    <mergeCell ref="AR377:AS377"/>
    <mergeCell ref="B377:F377"/>
    <mergeCell ref="G377:T377"/>
    <mergeCell ref="U377:Y377"/>
    <mergeCell ref="Z377:AE377"/>
    <mergeCell ref="AF376:AI376"/>
    <mergeCell ref="AJ376:AO376"/>
    <mergeCell ref="AP376:AQ376"/>
    <mergeCell ref="AR376:AS376"/>
    <mergeCell ref="B376:F376"/>
    <mergeCell ref="G376:T376"/>
    <mergeCell ref="U376:Y376"/>
    <mergeCell ref="Z376:AE376"/>
    <mergeCell ref="AF375:AI375"/>
    <mergeCell ref="AJ375:AO375"/>
    <mergeCell ref="AP375:AQ375"/>
    <mergeCell ref="AR375:AS375"/>
    <mergeCell ref="B375:F375"/>
    <mergeCell ref="G375:T375"/>
    <mergeCell ref="U375:Y375"/>
    <mergeCell ref="Z375:AE375"/>
    <mergeCell ref="AF374:AI374"/>
    <mergeCell ref="AJ374:AO374"/>
    <mergeCell ref="AP374:AQ374"/>
    <mergeCell ref="AR374:AS374"/>
    <mergeCell ref="B374:F374"/>
    <mergeCell ref="G374:T374"/>
    <mergeCell ref="U374:Y374"/>
    <mergeCell ref="Z374:AE374"/>
    <mergeCell ref="AF373:AI373"/>
    <mergeCell ref="AJ373:AO373"/>
    <mergeCell ref="AP373:AQ373"/>
    <mergeCell ref="AR373:AS373"/>
    <mergeCell ref="B373:F373"/>
    <mergeCell ref="G373:T373"/>
    <mergeCell ref="U373:Y373"/>
    <mergeCell ref="Z373:AE373"/>
    <mergeCell ref="AF372:AI372"/>
    <mergeCell ref="AJ372:AO372"/>
    <mergeCell ref="AP372:AQ372"/>
    <mergeCell ref="AR372:AS372"/>
    <mergeCell ref="B372:F372"/>
    <mergeCell ref="G372:T372"/>
    <mergeCell ref="U372:Y372"/>
    <mergeCell ref="Z372:AE372"/>
    <mergeCell ref="AF371:AI371"/>
    <mergeCell ref="AJ371:AO371"/>
    <mergeCell ref="AP371:AQ371"/>
    <mergeCell ref="AR371:AS371"/>
    <mergeCell ref="B371:F371"/>
    <mergeCell ref="G371:T371"/>
    <mergeCell ref="U371:Y371"/>
    <mergeCell ref="Z371:AE371"/>
    <mergeCell ref="AF370:AI370"/>
    <mergeCell ref="AJ370:AO370"/>
    <mergeCell ref="AP370:AQ370"/>
    <mergeCell ref="AR370:AS370"/>
    <mergeCell ref="B370:F370"/>
    <mergeCell ref="G370:T370"/>
    <mergeCell ref="U370:Y370"/>
    <mergeCell ref="Z370:AE370"/>
    <mergeCell ref="AF369:AI369"/>
    <mergeCell ref="AJ369:AO369"/>
    <mergeCell ref="AP369:AQ369"/>
    <mergeCell ref="AR369:AS369"/>
    <mergeCell ref="B369:F369"/>
    <mergeCell ref="G369:T369"/>
    <mergeCell ref="U369:Y369"/>
    <mergeCell ref="Z369:AE369"/>
    <mergeCell ref="AF368:AI368"/>
    <mergeCell ref="AJ368:AO368"/>
    <mergeCell ref="AP368:AQ368"/>
    <mergeCell ref="AR368:AS368"/>
    <mergeCell ref="B368:F368"/>
    <mergeCell ref="G368:T368"/>
    <mergeCell ref="U368:Y368"/>
    <mergeCell ref="Z368:AE368"/>
    <mergeCell ref="AF367:AI367"/>
    <mergeCell ref="AJ367:AO367"/>
    <mergeCell ref="AP367:AQ367"/>
    <mergeCell ref="AR367:AS367"/>
    <mergeCell ref="B367:F367"/>
    <mergeCell ref="G367:T367"/>
    <mergeCell ref="U367:Y367"/>
    <mergeCell ref="Z367:AE367"/>
    <mergeCell ref="AF366:AI366"/>
    <mergeCell ref="AJ366:AO366"/>
    <mergeCell ref="AP366:AQ366"/>
    <mergeCell ref="AR366:AS366"/>
    <mergeCell ref="B366:F366"/>
    <mergeCell ref="G366:T366"/>
    <mergeCell ref="U366:Y366"/>
    <mergeCell ref="Z366:AE366"/>
    <mergeCell ref="AF365:AI365"/>
    <mergeCell ref="AJ365:AO365"/>
    <mergeCell ref="AP365:AQ365"/>
    <mergeCell ref="AR365:AS365"/>
    <mergeCell ref="B365:F365"/>
    <mergeCell ref="G365:T365"/>
    <mergeCell ref="U365:Y365"/>
    <mergeCell ref="Z365:AE365"/>
    <mergeCell ref="AF364:AI364"/>
    <mergeCell ref="AJ364:AO364"/>
    <mergeCell ref="AP364:AQ364"/>
    <mergeCell ref="AR364:AS364"/>
    <mergeCell ref="B364:F364"/>
    <mergeCell ref="G364:T364"/>
    <mergeCell ref="U364:Y364"/>
    <mergeCell ref="Z364:AE364"/>
    <mergeCell ref="AF363:AI363"/>
    <mergeCell ref="AJ363:AO363"/>
    <mergeCell ref="AP363:AQ363"/>
    <mergeCell ref="AR363:AS363"/>
    <mergeCell ref="B363:F363"/>
    <mergeCell ref="G363:T363"/>
    <mergeCell ref="U363:Y363"/>
    <mergeCell ref="Z363:AE363"/>
    <mergeCell ref="AF362:AI362"/>
    <mergeCell ref="AJ362:AO362"/>
    <mergeCell ref="AP362:AQ362"/>
    <mergeCell ref="AR362:AS362"/>
    <mergeCell ref="B362:F362"/>
    <mergeCell ref="G362:T362"/>
    <mergeCell ref="U362:Y362"/>
    <mergeCell ref="Z362:AE362"/>
    <mergeCell ref="A360:B360"/>
    <mergeCell ref="C360:AS360"/>
    <mergeCell ref="B361:F361"/>
    <mergeCell ref="G361:T361"/>
    <mergeCell ref="U361:Y361"/>
    <mergeCell ref="Z361:AE361"/>
    <mergeCell ref="AF361:AI361"/>
    <mergeCell ref="AJ361:AO361"/>
    <mergeCell ref="AP361:AQ361"/>
    <mergeCell ref="AR361:AS361"/>
    <mergeCell ref="AJ358:AO358"/>
    <mergeCell ref="AP358:AQ358"/>
    <mergeCell ref="AR358:AS358"/>
    <mergeCell ref="A359:T359"/>
    <mergeCell ref="U359:Y359"/>
    <mergeCell ref="Z359:AE359"/>
    <mergeCell ref="AF359:AI359"/>
    <mergeCell ref="AJ359:AO359"/>
    <mergeCell ref="AP359:AQ359"/>
    <mergeCell ref="AR359:AS359"/>
    <mergeCell ref="A358:T358"/>
    <mergeCell ref="U358:Y358"/>
    <mergeCell ref="Z358:AE358"/>
    <mergeCell ref="AF358:AI358"/>
    <mergeCell ref="AR356:AS356"/>
    <mergeCell ref="A357:B357"/>
    <mergeCell ref="C357:F357"/>
    <mergeCell ref="G357:T357"/>
    <mergeCell ref="U357:Y357"/>
    <mergeCell ref="Z357:AE357"/>
    <mergeCell ref="AF357:AI357"/>
    <mergeCell ref="AJ357:AO357"/>
    <mergeCell ref="AP357:AQ357"/>
    <mergeCell ref="AR357:AS357"/>
    <mergeCell ref="Z356:AE356"/>
    <mergeCell ref="AF356:AI356"/>
    <mergeCell ref="AJ356:AO356"/>
    <mergeCell ref="AP356:AQ356"/>
    <mergeCell ref="A356:B356"/>
    <mergeCell ref="C356:F356"/>
    <mergeCell ref="G356:T356"/>
    <mergeCell ref="U356:Y356"/>
    <mergeCell ref="AR354:AS354"/>
    <mergeCell ref="A355:B355"/>
    <mergeCell ref="C355:F355"/>
    <mergeCell ref="G355:T355"/>
    <mergeCell ref="U355:Y355"/>
    <mergeCell ref="Z355:AE355"/>
    <mergeCell ref="AF355:AI355"/>
    <mergeCell ref="AJ355:AO355"/>
    <mergeCell ref="AP355:AQ355"/>
    <mergeCell ref="AR355:AS355"/>
    <mergeCell ref="Z354:AE354"/>
    <mergeCell ref="AF354:AI354"/>
    <mergeCell ref="AJ354:AO354"/>
    <mergeCell ref="AP354:AQ354"/>
    <mergeCell ref="A354:B354"/>
    <mergeCell ref="C354:F354"/>
    <mergeCell ref="G354:T354"/>
    <mergeCell ref="U354:Y354"/>
    <mergeCell ref="AJ352:AO352"/>
    <mergeCell ref="AP352:AQ352"/>
    <mergeCell ref="AR352:AS352"/>
    <mergeCell ref="A353:AS353"/>
    <mergeCell ref="A352:T352"/>
    <mergeCell ref="U352:Y352"/>
    <mergeCell ref="Z352:AE352"/>
    <mergeCell ref="AF352:AI352"/>
    <mergeCell ref="AF351:AI351"/>
    <mergeCell ref="AJ351:AO351"/>
    <mergeCell ref="AP351:AQ351"/>
    <mergeCell ref="AR351:AS351"/>
    <mergeCell ref="A351:B351"/>
    <mergeCell ref="C351:T351"/>
    <mergeCell ref="U351:Y351"/>
    <mergeCell ref="Z351:AE351"/>
    <mergeCell ref="AF350:AI350"/>
    <mergeCell ref="AJ350:AO350"/>
    <mergeCell ref="AP350:AQ350"/>
    <mergeCell ref="AR350:AS350"/>
    <mergeCell ref="A350:B350"/>
    <mergeCell ref="C350:T350"/>
    <mergeCell ref="U350:Y350"/>
    <mergeCell ref="Z350:AE350"/>
    <mergeCell ref="AF349:AI349"/>
    <mergeCell ref="AJ349:AO349"/>
    <mergeCell ref="AP349:AQ349"/>
    <mergeCell ref="AR349:AS349"/>
    <mergeCell ref="A349:B349"/>
    <mergeCell ref="C349:T349"/>
    <mergeCell ref="U349:Y349"/>
    <mergeCell ref="Z349:AE349"/>
    <mergeCell ref="A347:AS347"/>
    <mergeCell ref="A348:B348"/>
    <mergeCell ref="C348:T348"/>
    <mergeCell ref="U348:Y348"/>
    <mergeCell ref="Z348:AE348"/>
    <mergeCell ref="AF348:AI348"/>
    <mergeCell ref="AJ348:AO348"/>
    <mergeCell ref="AP348:AQ348"/>
    <mergeCell ref="AR348:AS348"/>
    <mergeCell ref="AF346:AI346"/>
    <mergeCell ref="AJ346:AO346"/>
    <mergeCell ref="AP346:AQ346"/>
    <mergeCell ref="AR346:AS346"/>
    <mergeCell ref="A346:B346"/>
    <mergeCell ref="C346:T346"/>
    <mergeCell ref="U346:Y346"/>
    <mergeCell ref="Z346:AE346"/>
    <mergeCell ref="AF345:AI345"/>
    <mergeCell ref="AJ345:AO345"/>
    <mergeCell ref="AP345:AQ345"/>
    <mergeCell ref="AR345:AS345"/>
    <mergeCell ref="A345:B345"/>
    <mergeCell ref="C345:T345"/>
    <mergeCell ref="U345:Y345"/>
    <mergeCell ref="Z345:AE345"/>
    <mergeCell ref="AF344:AI344"/>
    <mergeCell ref="AJ344:AO344"/>
    <mergeCell ref="AP344:AQ344"/>
    <mergeCell ref="AR344:AS344"/>
    <mergeCell ref="A344:B344"/>
    <mergeCell ref="C344:T344"/>
    <mergeCell ref="U344:Y344"/>
    <mergeCell ref="Z344:AE344"/>
    <mergeCell ref="AF343:AI343"/>
    <mergeCell ref="AJ343:AO343"/>
    <mergeCell ref="AP343:AQ343"/>
    <mergeCell ref="AR343:AS343"/>
    <mergeCell ref="A343:B343"/>
    <mergeCell ref="C343:T343"/>
    <mergeCell ref="U343:Y343"/>
    <mergeCell ref="Z343:AE343"/>
    <mergeCell ref="AF342:AI342"/>
    <mergeCell ref="AJ342:AO342"/>
    <mergeCell ref="AP342:AQ342"/>
    <mergeCell ref="AR342:AS342"/>
    <mergeCell ref="A342:B342"/>
    <mergeCell ref="C342:T342"/>
    <mergeCell ref="U342:Y342"/>
    <mergeCell ref="Z342:AE342"/>
    <mergeCell ref="AF341:AI341"/>
    <mergeCell ref="AJ341:AO341"/>
    <mergeCell ref="AP341:AQ341"/>
    <mergeCell ref="AR341:AS341"/>
    <mergeCell ref="A341:B341"/>
    <mergeCell ref="C341:T341"/>
    <mergeCell ref="U341:Y341"/>
    <mergeCell ref="Z341:AE341"/>
    <mergeCell ref="A339:AS339"/>
    <mergeCell ref="A340:B340"/>
    <mergeCell ref="C340:T340"/>
    <mergeCell ref="U340:Y340"/>
    <mergeCell ref="Z340:AE340"/>
    <mergeCell ref="AF340:AI340"/>
    <mergeCell ref="AJ340:AO340"/>
    <mergeCell ref="AP340:AQ340"/>
    <mergeCell ref="AR340:AS340"/>
    <mergeCell ref="AF338:AI338"/>
    <mergeCell ref="AJ338:AO338"/>
    <mergeCell ref="AP338:AQ338"/>
    <mergeCell ref="AR338:AS338"/>
    <mergeCell ref="A338:B338"/>
    <mergeCell ref="C338:T338"/>
    <mergeCell ref="U338:Y338"/>
    <mergeCell ref="Z338:AE338"/>
    <mergeCell ref="AF337:AI337"/>
    <mergeCell ref="AJ337:AO337"/>
    <mergeCell ref="AP337:AQ337"/>
    <mergeCell ref="AR337:AS337"/>
    <mergeCell ref="A337:B337"/>
    <mergeCell ref="C337:T337"/>
    <mergeCell ref="U337:Y337"/>
    <mergeCell ref="Z337:AE337"/>
    <mergeCell ref="AF336:AI336"/>
    <mergeCell ref="AJ336:AO336"/>
    <mergeCell ref="AP336:AQ336"/>
    <mergeCell ref="AR336:AS336"/>
    <mergeCell ref="A336:B336"/>
    <mergeCell ref="C336:T336"/>
    <mergeCell ref="U336:Y336"/>
    <mergeCell ref="Z336:AE336"/>
    <mergeCell ref="AF335:AI335"/>
    <mergeCell ref="AJ335:AO335"/>
    <mergeCell ref="AP335:AQ335"/>
    <mergeCell ref="AR335:AS335"/>
    <mergeCell ref="A335:B335"/>
    <mergeCell ref="C335:T335"/>
    <mergeCell ref="U335:Y335"/>
    <mergeCell ref="Z335:AE335"/>
    <mergeCell ref="AF334:AI334"/>
    <mergeCell ref="AJ334:AO334"/>
    <mergeCell ref="AP334:AQ334"/>
    <mergeCell ref="AR334:AS334"/>
    <mergeCell ref="A334:B334"/>
    <mergeCell ref="C334:T334"/>
    <mergeCell ref="U334:Y334"/>
    <mergeCell ref="Z334:AE334"/>
    <mergeCell ref="AF333:AI333"/>
    <mergeCell ref="AJ333:AO333"/>
    <mergeCell ref="AP333:AQ333"/>
    <mergeCell ref="AR333:AS333"/>
    <mergeCell ref="A333:B333"/>
    <mergeCell ref="C333:T333"/>
    <mergeCell ref="U333:Y333"/>
    <mergeCell ref="Z333:AE333"/>
    <mergeCell ref="A331:AS331"/>
    <mergeCell ref="A332:B332"/>
    <mergeCell ref="C332:T332"/>
    <mergeCell ref="U332:Y332"/>
    <mergeCell ref="Z332:AE332"/>
    <mergeCell ref="AF332:AI332"/>
    <mergeCell ref="AJ332:AO332"/>
    <mergeCell ref="AP332:AQ332"/>
    <mergeCell ref="AR332:AS332"/>
    <mergeCell ref="AF329:AI329"/>
    <mergeCell ref="AJ329:AO329"/>
    <mergeCell ref="AP329:AQ329"/>
    <mergeCell ref="AR329:AS329"/>
    <mergeCell ref="A329:D329"/>
    <mergeCell ref="E329:G329"/>
    <mergeCell ref="H329:Y329"/>
    <mergeCell ref="Z329:AE329"/>
    <mergeCell ref="AF328:AI328"/>
    <mergeCell ref="AJ328:AO328"/>
    <mergeCell ref="AP328:AQ328"/>
    <mergeCell ref="AR328:AS328"/>
    <mergeCell ref="A328:D328"/>
    <mergeCell ref="E328:G328"/>
    <mergeCell ref="H328:Y328"/>
    <mergeCell ref="Z328:AE328"/>
    <mergeCell ref="AF327:AI327"/>
    <mergeCell ref="AJ327:AO327"/>
    <mergeCell ref="AP327:AQ327"/>
    <mergeCell ref="AR327:AS327"/>
    <mergeCell ref="A327:B327"/>
    <mergeCell ref="C327:T327"/>
    <mergeCell ref="U327:Y327"/>
    <mergeCell ref="Z327:AE327"/>
    <mergeCell ref="AF326:AI326"/>
    <mergeCell ref="AJ326:AO326"/>
    <mergeCell ref="AP326:AQ326"/>
    <mergeCell ref="AR326:AS326"/>
    <mergeCell ref="A326:B326"/>
    <mergeCell ref="C326:T326"/>
    <mergeCell ref="U326:Y326"/>
    <mergeCell ref="Z326:AE326"/>
    <mergeCell ref="AF325:AI325"/>
    <mergeCell ref="AJ325:AO325"/>
    <mergeCell ref="AP325:AQ325"/>
    <mergeCell ref="AR325:AS325"/>
    <mergeCell ref="A325:B325"/>
    <mergeCell ref="C325:T325"/>
    <mergeCell ref="U325:Y325"/>
    <mergeCell ref="Z325:AE325"/>
    <mergeCell ref="AF324:AI324"/>
    <mergeCell ref="AJ324:AO324"/>
    <mergeCell ref="AP324:AQ324"/>
    <mergeCell ref="AR324:AS324"/>
    <mergeCell ref="A324:B324"/>
    <mergeCell ref="C324:T324"/>
    <mergeCell ref="U324:Y324"/>
    <mergeCell ref="Z324:AE324"/>
    <mergeCell ref="AF323:AI323"/>
    <mergeCell ref="AJ323:AO323"/>
    <mergeCell ref="AP323:AQ323"/>
    <mergeCell ref="AR323:AS323"/>
    <mergeCell ref="A323:B323"/>
    <mergeCell ref="C323:T323"/>
    <mergeCell ref="U323:Y323"/>
    <mergeCell ref="Z323:AE323"/>
    <mergeCell ref="AF322:AI322"/>
    <mergeCell ref="AJ322:AO322"/>
    <mergeCell ref="AP322:AQ322"/>
    <mergeCell ref="AR322:AS322"/>
    <mergeCell ref="A322:B322"/>
    <mergeCell ref="C322:T322"/>
    <mergeCell ref="U322:Y322"/>
    <mergeCell ref="Z322:AE322"/>
    <mergeCell ref="A320:AS320"/>
    <mergeCell ref="A321:B321"/>
    <mergeCell ref="C321:T321"/>
    <mergeCell ref="U321:Y321"/>
    <mergeCell ref="Z321:AE321"/>
    <mergeCell ref="AF321:AI321"/>
    <mergeCell ref="AJ321:AO321"/>
    <mergeCell ref="AP321:AQ321"/>
    <mergeCell ref="AR321:AS321"/>
    <mergeCell ref="AF319:AI319"/>
    <mergeCell ref="AJ319:AO319"/>
    <mergeCell ref="AP319:AQ319"/>
    <mergeCell ref="AR319:AS319"/>
    <mergeCell ref="A319:B319"/>
    <mergeCell ref="C319:T319"/>
    <mergeCell ref="U319:Y319"/>
    <mergeCell ref="Z319:AE319"/>
    <mergeCell ref="AF318:AI318"/>
    <mergeCell ref="AJ318:AO318"/>
    <mergeCell ref="AP318:AQ318"/>
    <mergeCell ref="AR318:AS318"/>
    <mergeCell ref="A318:B318"/>
    <mergeCell ref="C318:T318"/>
    <mergeCell ref="U318:Y318"/>
    <mergeCell ref="Z318:AE318"/>
    <mergeCell ref="AF317:AI317"/>
    <mergeCell ref="AJ317:AO317"/>
    <mergeCell ref="AP317:AQ317"/>
    <mergeCell ref="AR317:AS317"/>
    <mergeCell ref="A317:B317"/>
    <mergeCell ref="C317:T317"/>
    <mergeCell ref="U317:Y317"/>
    <mergeCell ref="Z317:AE317"/>
    <mergeCell ref="AF316:AI316"/>
    <mergeCell ref="AJ316:AO316"/>
    <mergeCell ref="AP316:AQ316"/>
    <mergeCell ref="AR316:AS316"/>
    <mergeCell ref="A316:B316"/>
    <mergeCell ref="C316:T316"/>
    <mergeCell ref="U316:Y316"/>
    <mergeCell ref="Z316:AE316"/>
    <mergeCell ref="AF315:AI315"/>
    <mergeCell ref="AJ315:AO315"/>
    <mergeCell ref="AP315:AQ315"/>
    <mergeCell ref="AR315:AS315"/>
    <mergeCell ref="A315:B315"/>
    <mergeCell ref="C315:T315"/>
    <mergeCell ref="U315:Y315"/>
    <mergeCell ref="Z315:AE315"/>
    <mergeCell ref="AF314:AI314"/>
    <mergeCell ref="AJ314:AO314"/>
    <mergeCell ref="AP314:AQ314"/>
    <mergeCell ref="AR314:AS314"/>
    <mergeCell ref="A314:B314"/>
    <mergeCell ref="C314:T314"/>
    <mergeCell ref="U314:Y314"/>
    <mergeCell ref="Z314:AE314"/>
    <mergeCell ref="A311:AS311"/>
    <mergeCell ref="A312:AS312"/>
    <mergeCell ref="A313:B313"/>
    <mergeCell ref="C313:T313"/>
    <mergeCell ref="U313:Y313"/>
    <mergeCell ref="Z313:AE313"/>
    <mergeCell ref="AF313:AI313"/>
    <mergeCell ref="AJ313:AO313"/>
    <mergeCell ref="AP313:AQ313"/>
    <mergeCell ref="AR313:AS313"/>
    <mergeCell ref="AJ309:AO309"/>
    <mergeCell ref="AP309:AQ309"/>
    <mergeCell ref="AR309:AS309"/>
    <mergeCell ref="A310:Y310"/>
    <mergeCell ref="Z310:AE310"/>
    <mergeCell ref="AF310:AI310"/>
    <mergeCell ref="AJ310:AO310"/>
    <mergeCell ref="AP310:AQ310"/>
    <mergeCell ref="AR310:AS310"/>
    <mergeCell ref="A309:D309"/>
    <mergeCell ref="E309:Y309"/>
    <mergeCell ref="Z309:AE309"/>
    <mergeCell ref="AF309:AI309"/>
    <mergeCell ref="AF308:AI308"/>
    <mergeCell ref="AJ308:AO308"/>
    <mergeCell ref="AP308:AQ308"/>
    <mergeCell ref="AR308:AS308"/>
    <mergeCell ref="A308:D308"/>
    <mergeCell ref="E308:G308"/>
    <mergeCell ref="H308:Y308"/>
    <mergeCell ref="Z308:AE308"/>
    <mergeCell ref="AF307:AI307"/>
    <mergeCell ref="AJ307:AO307"/>
    <mergeCell ref="AP307:AQ307"/>
    <mergeCell ref="AR307:AS307"/>
    <mergeCell ref="A307:D307"/>
    <mergeCell ref="E307:G307"/>
    <mergeCell ref="H307:Y307"/>
    <mergeCell ref="Z307:AE307"/>
    <mergeCell ref="AR305:AS305"/>
    <mergeCell ref="A306:D306"/>
    <mergeCell ref="E306:Y306"/>
    <mergeCell ref="Z306:AE306"/>
    <mergeCell ref="AF306:AI306"/>
    <mergeCell ref="AJ306:AO306"/>
    <mergeCell ref="AP306:AQ306"/>
    <mergeCell ref="AR306:AS306"/>
    <mergeCell ref="AJ304:AO304"/>
    <mergeCell ref="AP304:AQ304"/>
    <mergeCell ref="AR304:AS304"/>
    <mergeCell ref="A305:D305"/>
    <mergeCell ref="E305:G305"/>
    <mergeCell ref="H305:Y305"/>
    <mergeCell ref="Z305:AE305"/>
    <mergeCell ref="AF305:AI305"/>
    <mergeCell ref="AJ305:AO305"/>
    <mergeCell ref="AP305:AQ305"/>
    <mergeCell ref="A304:D304"/>
    <mergeCell ref="E304:Y304"/>
    <mergeCell ref="Z304:AE304"/>
    <mergeCell ref="AF304:AI304"/>
    <mergeCell ref="AF303:AI303"/>
    <mergeCell ref="AJ303:AO303"/>
    <mergeCell ref="AP303:AQ303"/>
    <mergeCell ref="AR303:AS303"/>
    <mergeCell ref="A303:D303"/>
    <mergeCell ref="E303:G303"/>
    <mergeCell ref="H303:Y303"/>
    <mergeCell ref="Z303:AE303"/>
    <mergeCell ref="AF302:AI302"/>
    <mergeCell ref="AJ302:AO302"/>
    <mergeCell ref="AP302:AQ302"/>
    <mergeCell ref="AR302:AS302"/>
    <mergeCell ref="A302:D302"/>
    <mergeCell ref="E302:G302"/>
    <mergeCell ref="H302:Y302"/>
    <mergeCell ref="Z302:AE302"/>
    <mergeCell ref="AF301:AI301"/>
    <mergeCell ref="AJ301:AO301"/>
    <mergeCell ref="AP301:AQ301"/>
    <mergeCell ref="AR301:AS301"/>
    <mergeCell ref="A301:D301"/>
    <mergeCell ref="E301:G301"/>
    <mergeCell ref="H301:Y301"/>
    <mergeCell ref="Z301:AE301"/>
    <mergeCell ref="AF300:AI300"/>
    <mergeCell ref="AJ300:AO300"/>
    <mergeCell ref="AP300:AQ300"/>
    <mergeCell ref="AR300:AS300"/>
    <mergeCell ref="A300:D300"/>
    <mergeCell ref="E300:G300"/>
    <mergeCell ref="H300:Y300"/>
    <mergeCell ref="Z300:AE300"/>
    <mergeCell ref="AF299:AI299"/>
    <mergeCell ref="AJ299:AO299"/>
    <mergeCell ref="AP299:AQ299"/>
    <mergeCell ref="AR299:AS299"/>
    <mergeCell ref="A299:D299"/>
    <mergeCell ref="E299:G299"/>
    <mergeCell ref="H299:Y299"/>
    <mergeCell ref="Z299:AE299"/>
    <mergeCell ref="AF298:AI298"/>
    <mergeCell ref="AJ298:AO298"/>
    <mergeCell ref="AP298:AQ298"/>
    <mergeCell ref="AR298:AS298"/>
    <mergeCell ref="A298:D298"/>
    <mergeCell ref="E298:G298"/>
    <mergeCell ref="H298:Y298"/>
    <mergeCell ref="Z298:AE298"/>
    <mergeCell ref="AF297:AI297"/>
    <mergeCell ref="AJ297:AO297"/>
    <mergeCell ref="AP297:AQ297"/>
    <mergeCell ref="AR297:AS297"/>
    <mergeCell ref="A297:D297"/>
    <mergeCell ref="E297:G297"/>
    <mergeCell ref="H297:Y297"/>
    <mergeCell ref="Z297:AE297"/>
    <mergeCell ref="AF296:AI296"/>
    <mergeCell ref="AJ296:AO296"/>
    <mergeCell ref="AP296:AQ296"/>
    <mergeCell ref="AR296:AS296"/>
    <mergeCell ref="A296:D296"/>
    <mergeCell ref="E296:G296"/>
    <mergeCell ref="H296:Y296"/>
    <mergeCell ref="Z296:AE296"/>
    <mergeCell ref="AF295:AI295"/>
    <mergeCell ref="AJ295:AO295"/>
    <mergeCell ref="AP295:AQ295"/>
    <mergeCell ref="AR295:AS295"/>
    <mergeCell ref="A295:D295"/>
    <mergeCell ref="E295:G295"/>
    <mergeCell ref="H295:Y295"/>
    <mergeCell ref="Z295:AE295"/>
    <mergeCell ref="AF294:AI294"/>
    <mergeCell ref="AJ294:AO294"/>
    <mergeCell ref="AP294:AQ294"/>
    <mergeCell ref="AR294:AS294"/>
    <mergeCell ref="A294:D294"/>
    <mergeCell ref="E294:G294"/>
    <mergeCell ref="H294:Y294"/>
    <mergeCell ref="Z294:AE294"/>
    <mergeCell ref="AF293:AI293"/>
    <mergeCell ref="AJ293:AO293"/>
    <mergeCell ref="AP293:AQ293"/>
    <mergeCell ref="AR293:AS293"/>
    <mergeCell ref="A293:D293"/>
    <mergeCell ref="E293:G293"/>
    <mergeCell ref="H293:Y293"/>
    <mergeCell ref="Z293:AE293"/>
    <mergeCell ref="AF292:AI292"/>
    <mergeCell ref="AJ292:AO292"/>
    <mergeCell ref="AP292:AQ292"/>
    <mergeCell ref="AR292:AS292"/>
    <mergeCell ref="A292:D292"/>
    <mergeCell ref="E292:G292"/>
    <mergeCell ref="H292:Y292"/>
    <mergeCell ref="Z292:AE292"/>
    <mergeCell ref="AF291:AI291"/>
    <mergeCell ref="AJ291:AO291"/>
    <mergeCell ref="AP291:AQ291"/>
    <mergeCell ref="AR291:AS291"/>
    <mergeCell ref="A291:D291"/>
    <mergeCell ref="E291:G291"/>
    <mergeCell ref="H291:Y291"/>
    <mergeCell ref="Z291:AE291"/>
    <mergeCell ref="AF290:AI290"/>
    <mergeCell ref="AJ290:AO290"/>
    <mergeCell ref="AP290:AQ290"/>
    <mergeCell ref="AR290:AS290"/>
    <mergeCell ref="A290:D290"/>
    <mergeCell ref="E290:G290"/>
    <mergeCell ref="H290:Y290"/>
    <mergeCell ref="Z290:AE290"/>
    <mergeCell ref="AF289:AI289"/>
    <mergeCell ref="AJ289:AO289"/>
    <mergeCell ref="AP289:AQ289"/>
    <mergeCell ref="AR289:AS289"/>
    <mergeCell ref="A289:D289"/>
    <mergeCell ref="E289:G289"/>
    <mergeCell ref="H289:Y289"/>
    <mergeCell ref="Z289:AE289"/>
    <mergeCell ref="AF288:AI288"/>
    <mergeCell ref="AJ288:AO288"/>
    <mergeCell ref="AP288:AQ288"/>
    <mergeCell ref="AR288:AS288"/>
    <mergeCell ref="A288:D288"/>
    <mergeCell ref="E288:G288"/>
    <mergeCell ref="H288:Y288"/>
    <mergeCell ref="Z288:AE288"/>
    <mergeCell ref="AF287:AI287"/>
    <mergeCell ref="AJ287:AO287"/>
    <mergeCell ref="AP287:AQ287"/>
    <mergeCell ref="AR287:AS287"/>
    <mergeCell ref="A287:D287"/>
    <mergeCell ref="E287:G287"/>
    <mergeCell ref="H287:Y287"/>
    <mergeCell ref="Z287:AE287"/>
    <mergeCell ref="AF286:AI286"/>
    <mergeCell ref="AJ286:AO286"/>
    <mergeCell ref="AP286:AQ286"/>
    <mergeCell ref="AR286:AS286"/>
    <mergeCell ref="A286:D286"/>
    <mergeCell ref="E286:G286"/>
    <mergeCell ref="H286:Y286"/>
    <mergeCell ref="Z286:AE286"/>
    <mergeCell ref="AF285:AI285"/>
    <mergeCell ref="AJ285:AO285"/>
    <mergeCell ref="AP285:AQ285"/>
    <mergeCell ref="AR285:AS285"/>
    <mergeCell ref="A285:D285"/>
    <mergeCell ref="E285:G285"/>
    <mergeCell ref="H285:Y285"/>
    <mergeCell ref="Z285:AE285"/>
    <mergeCell ref="AF284:AI284"/>
    <mergeCell ref="AJ284:AO284"/>
    <mergeCell ref="AP284:AQ284"/>
    <mergeCell ref="AR284:AS284"/>
    <mergeCell ref="A284:D284"/>
    <mergeCell ref="E284:G284"/>
    <mergeCell ref="H284:Y284"/>
    <mergeCell ref="Z284:AE284"/>
    <mergeCell ref="AF283:AI283"/>
    <mergeCell ref="AJ283:AO283"/>
    <mergeCell ref="AP283:AQ283"/>
    <mergeCell ref="AR283:AS283"/>
    <mergeCell ref="A283:D283"/>
    <mergeCell ref="E283:G283"/>
    <mergeCell ref="H283:Y283"/>
    <mergeCell ref="Z283:AE283"/>
    <mergeCell ref="AF282:AI282"/>
    <mergeCell ref="AJ282:AO282"/>
    <mergeCell ref="AP282:AQ282"/>
    <mergeCell ref="AR282:AS282"/>
    <mergeCell ref="A282:D282"/>
    <mergeCell ref="E282:G282"/>
    <mergeCell ref="H282:Y282"/>
    <mergeCell ref="Z282:AE282"/>
    <mergeCell ref="AF281:AI281"/>
    <mergeCell ref="AJ281:AO281"/>
    <mergeCell ref="AP281:AQ281"/>
    <mergeCell ref="AR281:AS281"/>
    <mergeCell ref="A281:D281"/>
    <mergeCell ref="E281:G281"/>
    <mergeCell ref="H281:Y281"/>
    <mergeCell ref="Z281:AE281"/>
    <mergeCell ref="AF280:AI280"/>
    <mergeCell ref="AJ280:AO280"/>
    <mergeCell ref="AP280:AQ280"/>
    <mergeCell ref="AR280:AS280"/>
    <mergeCell ref="A280:D280"/>
    <mergeCell ref="E280:G280"/>
    <mergeCell ref="H280:Y280"/>
    <mergeCell ref="Z280:AE280"/>
    <mergeCell ref="AF279:AI279"/>
    <mergeCell ref="AJ279:AO279"/>
    <mergeCell ref="AP279:AQ279"/>
    <mergeCell ref="AR279:AS279"/>
    <mergeCell ref="A279:D279"/>
    <mergeCell ref="E279:G279"/>
    <mergeCell ref="H279:Y279"/>
    <mergeCell ref="Z279:AE279"/>
    <mergeCell ref="AF278:AI278"/>
    <mergeCell ref="AJ278:AO278"/>
    <mergeCell ref="AP278:AQ278"/>
    <mergeCell ref="AR278:AS278"/>
    <mergeCell ref="A278:D278"/>
    <mergeCell ref="E278:G278"/>
    <mergeCell ref="H278:Y278"/>
    <mergeCell ref="Z278:AE278"/>
    <mergeCell ref="AF277:AI277"/>
    <mergeCell ref="AJ277:AO277"/>
    <mergeCell ref="AP277:AQ277"/>
    <mergeCell ref="AR277:AS277"/>
    <mergeCell ref="A277:D277"/>
    <mergeCell ref="E277:G277"/>
    <mergeCell ref="H277:Y277"/>
    <mergeCell ref="Z277:AE277"/>
    <mergeCell ref="AF276:AI276"/>
    <mergeCell ref="AJ276:AO276"/>
    <mergeCell ref="AP276:AQ276"/>
    <mergeCell ref="AR276:AS276"/>
    <mergeCell ref="A276:D276"/>
    <mergeCell ref="E276:G276"/>
    <mergeCell ref="H276:Y276"/>
    <mergeCell ref="Z276:AE276"/>
    <mergeCell ref="AF274:AI274"/>
    <mergeCell ref="AJ274:AO274"/>
    <mergeCell ref="AP274:AQ274"/>
    <mergeCell ref="AR274:AS274"/>
    <mergeCell ref="A274:D274"/>
    <mergeCell ref="E274:G274"/>
    <mergeCell ref="H274:Y274"/>
    <mergeCell ref="Z274:AE274"/>
    <mergeCell ref="AF273:AI273"/>
    <mergeCell ref="AJ273:AO273"/>
    <mergeCell ref="AP273:AQ273"/>
    <mergeCell ref="AR273:AS273"/>
    <mergeCell ref="A273:D273"/>
    <mergeCell ref="E273:G273"/>
    <mergeCell ref="H273:Y273"/>
    <mergeCell ref="Z273:AE273"/>
    <mergeCell ref="AF272:AI272"/>
    <mergeCell ref="AJ272:AO272"/>
    <mergeCell ref="AP272:AQ272"/>
    <mergeCell ref="AR272:AS272"/>
    <mergeCell ref="A272:D272"/>
    <mergeCell ref="E272:G272"/>
    <mergeCell ref="H272:Y272"/>
    <mergeCell ref="Z272:AE272"/>
    <mergeCell ref="AF271:AI271"/>
    <mergeCell ref="AJ271:AO271"/>
    <mergeCell ref="AP271:AQ271"/>
    <mergeCell ref="AR271:AS271"/>
    <mergeCell ref="A271:D271"/>
    <mergeCell ref="E271:G271"/>
    <mergeCell ref="H271:Y271"/>
    <mergeCell ref="Z271:AE271"/>
    <mergeCell ref="AF270:AI270"/>
    <mergeCell ref="AJ270:AO270"/>
    <mergeCell ref="AP270:AQ270"/>
    <mergeCell ref="AR270:AS270"/>
    <mergeCell ref="A270:D270"/>
    <mergeCell ref="E270:G270"/>
    <mergeCell ref="H270:Y270"/>
    <mergeCell ref="Z270:AE270"/>
    <mergeCell ref="AF269:AI269"/>
    <mergeCell ref="AJ269:AO269"/>
    <mergeCell ref="AP269:AQ269"/>
    <mergeCell ref="AR269:AS269"/>
    <mergeCell ref="A269:D269"/>
    <mergeCell ref="E269:G269"/>
    <mergeCell ref="H269:Y269"/>
    <mergeCell ref="Z269:AE269"/>
    <mergeCell ref="AF268:AI268"/>
    <mergeCell ref="AJ268:AO268"/>
    <mergeCell ref="AP268:AQ268"/>
    <mergeCell ref="AR268:AS268"/>
    <mergeCell ref="A268:D268"/>
    <mergeCell ref="E268:G268"/>
    <mergeCell ref="H268:Y268"/>
    <mergeCell ref="Z268:AE268"/>
    <mergeCell ref="AF267:AI267"/>
    <mergeCell ref="AJ267:AO267"/>
    <mergeCell ref="AP267:AQ267"/>
    <mergeCell ref="AR267:AS267"/>
    <mergeCell ref="A267:D267"/>
    <mergeCell ref="E267:G267"/>
    <mergeCell ref="H267:Y267"/>
    <mergeCell ref="Z267:AE267"/>
    <mergeCell ref="AF266:AI266"/>
    <mergeCell ref="AJ266:AO266"/>
    <mergeCell ref="AP266:AQ266"/>
    <mergeCell ref="AR266:AS266"/>
    <mergeCell ref="A266:D266"/>
    <mergeCell ref="E266:G266"/>
    <mergeCell ref="H266:Y266"/>
    <mergeCell ref="Z266:AE266"/>
    <mergeCell ref="AF265:AI265"/>
    <mergeCell ref="AJ265:AO265"/>
    <mergeCell ref="AP265:AQ265"/>
    <mergeCell ref="AR265:AS265"/>
    <mergeCell ref="A265:D265"/>
    <mergeCell ref="E265:G265"/>
    <mergeCell ref="H265:Y265"/>
    <mergeCell ref="Z265:AE265"/>
    <mergeCell ref="AF264:AI264"/>
    <mergeCell ref="AJ264:AO264"/>
    <mergeCell ref="AP264:AQ264"/>
    <mergeCell ref="AR264:AS264"/>
    <mergeCell ref="A264:D264"/>
    <mergeCell ref="E264:G264"/>
    <mergeCell ref="H264:Y264"/>
    <mergeCell ref="Z264:AE264"/>
    <mergeCell ref="AF263:AI263"/>
    <mergeCell ref="AJ263:AO263"/>
    <mergeCell ref="AP263:AQ263"/>
    <mergeCell ref="AR263:AS263"/>
    <mergeCell ref="A263:D263"/>
    <mergeCell ref="E263:G263"/>
    <mergeCell ref="H263:Y263"/>
    <mergeCell ref="Z263:AE263"/>
    <mergeCell ref="AF262:AI262"/>
    <mergeCell ref="AJ262:AO262"/>
    <mergeCell ref="AP262:AQ262"/>
    <mergeCell ref="AR262:AS262"/>
    <mergeCell ref="A262:D262"/>
    <mergeCell ref="E262:G262"/>
    <mergeCell ref="H262:Y262"/>
    <mergeCell ref="Z262:AE262"/>
    <mergeCell ref="AR260:AS260"/>
    <mergeCell ref="A261:D261"/>
    <mergeCell ref="E261:G261"/>
    <mergeCell ref="H261:Y261"/>
    <mergeCell ref="Z261:AE261"/>
    <mergeCell ref="AF261:AI261"/>
    <mergeCell ref="AJ261:AO261"/>
    <mergeCell ref="AP261:AQ261"/>
    <mergeCell ref="AR261:AS261"/>
    <mergeCell ref="AJ259:AO259"/>
    <mergeCell ref="AP259:AQ259"/>
    <mergeCell ref="AR259:AS259"/>
    <mergeCell ref="A260:D260"/>
    <mergeCell ref="E260:G260"/>
    <mergeCell ref="H260:Y260"/>
    <mergeCell ref="Z260:AE260"/>
    <mergeCell ref="AF260:AI260"/>
    <mergeCell ref="AJ260:AO260"/>
    <mergeCell ref="AP260:AQ260"/>
    <mergeCell ref="A259:D259"/>
    <mergeCell ref="E259:Y259"/>
    <mergeCell ref="Z259:AE259"/>
    <mergeCell ref="AF259:AI259"/>
    <mergeCell ref="AF258:AI258"/>
    <mergeCell ref="AJ258:AO258"/>
    <mergeCell ref="AP258:AQ258"/>
    <mergeCell ref="AR258:AS258"/>
    <mergeCell ref="A258:D258"/>
    <mergeCell ref="E258:G258"/>
    <mergeCell ref="H258:Y258"/>
    <mergeCell ref="Z258:AE258"/>
    <mergeCell ref="AF257:AI257"/>
    <mergeCell ref="AJ257:AO257"/>
    <mergeCell ref="AP257:AQ257"/>
    <mergeCell ref="AR257:AS257"/>
    <mergeCell ref="A257:D257"/>
    <mergeCell ref="E257:G257"/>
    <mergeCell ref="H257:Y257"/>
    <mergeCell ref="Z257:AE257"/>
    <mergeCell ref="AF256:AI256"/>
    <mergeCell ref="AJ256:AO256"/>
    <mergeCell ref="AP256:AQ256"/>
    <mergeCell ref="AR256:AS256"/>
    <mergeCell ref="A256:D256"/>
    <mergeCell ref="E256:G256"/>
    <mergeCell ref="H256:Y256"/>
    <mergeCell ref="Z256:AE256"/>
    <mergeCell ref="AR254:AS254"/>
    <mergeCell ref="A255:D255"/>
    <mergeCell ref="E255:G255"/>
    <mergeCell ref="H255:Y255"/>
    <mergeCell ref="Z255:AE255"/>
    <mergeCell ref="AF255:AI255"/>
    <mergeCell ref="AJ255:AO255"/>
    <mergeCell ref="AP255:AQ255"/>
    <mergeCell ref="AR255:AS255"/>
    <mergeCell ref="AJ253:AO253"/>
    <mergeCell ref="AP253:AQ253"/>
    <mergeCell ref="AR253:AS253"/>
    <mergeCell ref="A254:D254"/>
    <mergeCell ref="E254:G254"/>
    <mergeCell ref="H254:Y254"/>
    <mergeCell ref="Z254:AE254"/>
    <mergeCell ref="AF254:AI254"/>
    <mergeCell ref="AJ254:AO254"/>
    <mergeCell ref="AP254:AQ254"/>
    <mergeCell ref="A253:D253"/>
    <mergeCell ref="E253:Y253"/>
    <mergeCell ref="Z253:AE253"/>
    <mergeCell ref="AF253:AI253"/>
    <mergeCell ref="AF252:AI252"/>
    <mergeCell ref="AJ252:AO252"/>
    <mergeCell ref="AP252:AQ252"/>
    <mergeCell ref="AR252:AS252"/>
    <mergeCell ref="A252:D252"/>
    <mergeCell ref="E252:G252"/>
    <mergeCell ref="H252:Y252"/>
    <mergeCell ref="Z252:AE252"/>
    <mergeCell ref="AF251:AI251"/>
    <mergeCell ref="AJ251:AO251"/>
    <mergeCell ref="AP251:AQ251"/>
    <mergeCell ref="AR251:AS251"/>
    <mergeCell ref="A251:D251"/>
    <mergeCell ref="E251:G251"/>
    <mergeCell ref="H251:Y251"/>
    <mergeCell ref="Z251:AE251"/>
    <mergeCell ref="AF250:AI250"/>
    <mergeCell ref="AJ250:AO250"/>
    <mergeCell ref="AP250:AQ250"/>
    <mergeCell ref="AR250:AS250"/>
    <mergeCell ref="A250:D250"/>
    <mergeCell ref="E250:G250"/>
    <mergeCell ref="H250:Y250"/>
    <mergeCell ref="Z250:AE250"/>
    <mergeCell ref="AF249:AI249"/>
    <mergeCell ref="AJ249:AO249"/>
    <mergeCell ref="AP249:AQ249"/>
    <mergeCell ref="AR249:AS249"/>
    <mergeCell ref="A249:D249"/>
    <mergeCell ref="E249:G249"/>
    <mergeCell ref="H249:Y249"/>
    <mergeCell ref="Z249:AE249"/>
    <mergeCell ref="AF248:AI248"/>
    <mergeCell ref="AJ248:AO248"/>
    <mergeCell ref="AP248:AQ248"/>
    <mergeCell ref="AR248:AS248"/>
    <mergeCell ref="A248:D248"/>
    <mergeCell ref="E248:G248"/>
    <mergeCell ref="H248:Y248"/>
    <mergeCell ref="Z248:AE248"/>
    <mergeCell ref="AF247:AI247"/>
    <mergeCell ref="AJ247:AO247"/>
    <mergeCell ref="AP247:AQ247"/>
    <mergeCell ref="AR247:AS247"/>
    <mergeCell ref="A247:D247"/>
    <mergeCell ref="E247:G247"/>
    <mergeCell ref="H247:Y247"/>
    <mergeCell ref="Z247:AE247"/>
    <mergeCell ref="AF246:AI246"/>
    <mergeCell ref="AJ246:AO246"/>
    <mergeCell ref="AP246:AQ246"/>
    <mergeCell ref="AR246:AS246"/>
    <mergeCell ref="A246:D246"/>
    <mergeCell ref="E246:G246"/>
    <mergeCell ref="H246:Y246"/>
    <mergeCell ref="Z246:AE246"/>
    <mergeCell ref="AF245:AI245"/>
    <mergeCell ref="AJ245:AO245"/>
    <mergeCell ref="AP245:AQ245"/>
    <mergeCell ref="AR245:AS245"/>
    <mergeCell ref="A245:D245"/>
    <mergeCell ref="E245:G245"/>
    <mergeCell ref="H245:Y245"/>
    <mergeCell ref="Z245:AE245"/>
    <mergeCell ref="AR243:AS243"/>
    <mergeCell ref="A244:D244"/>
    <mergeCell ref="E244:G244"/>
    <mergeCell ref="H244:Y244"/>
    <mergeCell ref="Z244:AE244"/>
    <mergeCell ref="AF244:AI244"/>
    <mergeCell ref="AJ244:AO244"/>
    <mergeCell ref="AP244:AQ244"/>
    <mergeCell ref="AR244:AS244"/>
    <mergeCell ref="AJ242:AO242"/>
    <mergeCell ref="AP242:AQ242"/>
    <mergeCell ref="AR242:AS242"/>
    <mergeCell ref="A243:D243"/>
    <mergeCell ref="E243:G243"/>
    <mergeCell ref="H243:Y243"/>
    <mergeCell ref="Z243:AE243"/>
    <mergeCell ref="AF243:AI243"/>
    <mergeCell ref="AJ243:AO243"/>
    <mergeCell ref="AP243:AQ243"/>
    <mergeCell ref="A242:D242"/>
    <mergeCell ref="E242:Y242"/>
    <mergeCell ref="Z242:AE242"/>
    <mergeCell ref="AF242:AI242"/>
    <mergeCell ref="AF241:AI241"/>
    <mergeCell ref="AJ241:AO241"/>
    <mergeCell ref="AP241:AQ241"/>
    <mergeCell ref="AR241:AS241"/>
    <mergeCell ref="A241:D241"/>
    <mergeCell ref="E241:G241"/>
    <mergeCell ref="H241:Y241"/>
    <mergeCell ref="Z241:AE241"/>
    <mergeCell ref="AF240:AI240"/>
    <mergeCell ref="AJ240:AO240"/>
    <mergeCell ref="AP240:AQ240"/>
    <mergeCell ref="AR240:AS240"/>
    <mergeCell ref="A240:D240"/>
    <mergeCell ref="E240:G240"/>
    <mergeCell ref="H240:Y240"/>
    <mergeCell ref="Z240:AE240"/>
    <mergeCell ref="AF239:AI239"/>
    <mergeCell ref="AJ239:AO239"/>
    <mergeCell ref="AP239:AQ239"/>
    <mergeCell ref="AR239:AS239"/>
    <mergeCell ref="A239:D239"/>
    <mergeCell ref="E239:G239"/>
    <mergeCell ref="H239:Y239"/>
    <mergeCell ref="Z239:AE239"/>
    <mergeCell ref="AF238:AI238"/>
    <mergeCell ref="AJ238:AO238"/>
    <mergeCell ref="AP238:AQ238"/>
    <mergeCell ref="AR238:AS238"/>
    <mergeCell ref="A238:D238"/>
    <mergeCell ref="E238:G238"/>
    <mergeCell ref="H238:Y238"/>
    <mergeCell ref="Z238:AE238"/>
    <mergeCell ref="AF237:AI237"/>
    <mergeCell ref="AJ237:AO237"/>
    <mergeCell ref="AP237:AQ237"/>
    <mergeCell ref="AR237:AS237"/>
    <mergeCell ref="A237:D237"/>
    <mergeCell ref="E237:G237"/>
    <mergeCell ref="H237:Y237"/>
    <mergeCell ref="Z237:AE237"/>
    <mergeCell ref="AF236:AI236"/>
    <mergeCell ref="AJ236:AO236"/>
    <mergeCell ref="AP236:AQ236"/>
    <mergeCell ref="AR236:AS236"/>
    <mergeCell ref="A236:D236"/>
    <mergeCell ref="E236:G236"/>
    <mergeCell ref="H236:Y236"/>
    <mergeCell ref="Z236:AE236"/>
    <mergeCell ref="AF235:AI235"/>
    <mergeCell ref="AJ235:AO235"/>
    <mergeCell ref="AP235:AQ235"/>
    <mergeCell ref="AR235:AS235"/>
    <mergeCell ref="A235:D235"/>
    <mergeCell ref="E235:G235"/>
    <mergeCell ref="H235:Y235"/>
    <mergeCell ref="Z235:AE235"/>
    <mergeCell ref="AF234:AI234"/>
    <mergeCell ref="AJ234:AO234"/>
    <mergeCell ref="AP234:AQ234"/>
    <mergeCell ref="AR234:AS234"/>
    <mergeCell ref="A234:D234"/>
    <mergeCell ref="E234:G234"/>
    <mergeCell ref="H234:Y234"/>
    <mergeCell ref="Z234:AE234"/>
    <mergeCell ref="AF233:AI233"/>
    <mergeCell ref="AJ233:AO233"/>
    <mergeCell ref="AP233:AQ233"/>
    <mergeCell ref="AR233:AS233"/>
    <mergeCell ref="A233:D233"/>
    <mergeCell ref="E233:G233"/>
    <mergeCell ref="H233:Y233"/>
    <mergeCell ref="Z233:AE233"/>
    <mergeCell ref="AF232:AI232"/>
    <mergeCell ref="AJ232:AO232"/>
    <mergeCell ref="AP232:AQ232"/>
    <mergeCell ref="AR232:AS232"/>
    <mergeCell ref="A232:D232"/>
    <mergeCell ref="E232:G232"/>
    <mergeCell ref="H232:Y232"/>
    <mergeCell ref="Z232:AE232"/>
    <mergeCell ref="AF231:AI231"/>
    <mergeCell ref="AJ231:AO231"/>
    <mergeCell ref="AP231:AQ231"/>
    <mergeCell ref="AR231:AS231"/>
    <mergeCell ref="A231:D231"/>
    <mergeCell ref="E231:G231"/>
    <mergeCell ref="H231:Y231"/>
    <mergeCell ref="Z231:AE231"/>
    <mergeCell ref="AF230:AI230"/>
    <mergeCell ref="AJ230:AO230"/>
    <mergeCell ref="AP230:AQ230"/>
    <mergeCell ref="AR230:AS230"/>
    <mergeCell ref="A230:D230"/>
    <mergeCell ref="E230:G230"/>
    <mergeCell ref="H230:Y230"/>
    <mergeCell ref="Z230:AE230"/>
    <mergeCell ref="AR228:AS228"/>
    <mergeCell ref="A229:D229"/>
    <mergeCell ref="E229:G229"/>
    <mergeCell ref="H229:Y229"/>
    <mergeCell ref="Z229:AE229"/>
    <mergeCell ref="AF229:AI229"/>
    <mergeCell ref="AJ229:AO229"/>
    <mergeCell ref="AP229:AQ229"/>
    <mergeCell ref="AR229:AS229"/>
    <mergeCell ref="AJ227:AO227"/>
    <mergeCell ref="AP227:AQ227"/>
    <mergeCell ref="AR227:AS227"/>
    <mergeCell ref="A228:D228"/>
    <mergeCell ref="E228:G228"/>
    <mergeCell ref="H228:Y228"/>
    <mergeCell ref="Z228:AE228"/>
    <mergeCell ref="AF228:AI228"/>
    <mergeCell ref="AJ228:AO228"/>
    <mergeCell ref="AP228:AQ228"/>
    <mergeCell ref="A227:D227"/>
    <mergeCell ref="E227:Y227"/>
    <mergeCell ref="Z227:AE227"/>
    <mergeCell ref="AF227:AI227"/>
    <mergeCell ref="AF226:AI226"/>
    <mergeCell ref="AJ226:AO226"/>
    <mergeCell ref="AP226:AQ226"/>
    <mergeCell ref="AR226:AS226"/>
    <mergeCell ref="A226:D226"/>
    <mergeCell ref="E226:G226"/>
    <mergeCell ref="H226:Y226"/>
    <mergeCell ref="Z226:AE226"/>
    <mergeCell ref="AF225:AI225"/>
    <mergeCell ref="AJ225:AO225"/>
    <mergeCell ref="AP225:AQ225"/>
    <mergeCell ref="AR225:AS225"/>
    <mergeCell ref="A225:D225"/>
    <mergeCell ref="E225:G225"/>
    <mergeCell ref="H225:Y225"/>
    <mergeCell ref="Z225:AE225"/>
    <mergeCell ref="AR223:AS223"/>
    <mergeCell ref="A224:D224"/>
    <mergeCell ref="E224:G224"/>
    <mergeCell ref="H224:Y224"/>
    <mergeCell ref="Z224:AE224"/>
    <mergeCell ref="AF224:AI224"/>
    <mergeCell ref="AJ224:AO224"/>
    <mergeCell ref="AP224:AQ224"/>
    <mergeCell ref="AR224:AS224"/>
    <mergeCell ref="AJ222:AO222"/>
    <mergeCell ref="AP222:AQ222"/>
    <mergeCell ref="AR222:AS222"/>
    <mergeCell ref="A223:D223"/>
    <mergeCell ref="E223:G223"/>
    <mergeCell ref="H223:Y223"/>
    <mergeCell ref="Z223:AE223"/>
    <mergeCell ref="AF223:AI223"/>
    <mergeCell ref="AJ223:AO223"/>
    <mergeCell ref="AP223:AQ223"/>
    <mergeCell ref="A222:D222"/>
    <mergeCell ref="E222:Y222"/>
    <mergeCell ref="Z222:AE222"/>
    <mergeCell ref="AF222:AI222"/>
    <mergeCell ref="AF221:AI221"/>
    <mergeCell ref="AJ221:AO221"/>
    <mergeCell ref="AP221:AQ221"/>
    <mergeCell ref="AR221:AS221"/>
    <mergeCell ref="A221:D221"/>
    <mergeCell ref="E221:G221"/>
    <mergeCell ref="H221:Y221"/>
    <mergeCell ref="Z221:AE221"/>
    <mergeCell ref="AR218:AS218"/>
    <mergeCell ref="A219:D219"/>
    <mergeCell ref="E219:G219"/>
    <mergeCell ref="H219:Y219"/>
    <mergeCell ref="Z219:AE219"/>
    <mergeCell ref="AF219:AI219"/>
    <mergeCell ref="AJ219:AO219"/>
    <mergeCell ref="AP219:AQ219"/>
    <mergeCell ref="AR219:AS219"/>
    <mergeCell ref="AJ217:AO217"/>
    <mergeCell ref="AP217:AQ217"/>
    <mergeCell ref="AR217:AS217"/>
    <mergeCell ref="A218:D218"/>
    <mergeCell ref="E218:G218"/>
    <mergeCell ref="H218:Y218"/>
    <mergeCell ref="Z218:AE218"/>
    <mergeCell ref="AF218:AI218"/>
    <mergeCell ref="AJ218:AO218"/>
    <mergeCell ref="AP218:AQ218"/>
    <mergeCell ref="A217:D217"/>
    <mergeCell ref="E217:Y217"/>
    <mergeCell ref="Z217:AE217"/>
    <mergeCell ref="AF217:AI217"/>
    <mergeCell ref="AF216:AI216"/>
    <mergeCell ref="AJ216:AO216"/>
    <mergeCell ref="AP216:AQ216"/>
    <mergeCell ref="AR216:AS216"/>
    <mergeCell ref="A216:D216"/>
    <mergeCell ref="E216:G216"/>
    <mergeCell ref="H216:Y216"/>
    <mergeCell ref="Z216:AE216"/>
    <mergeCell ref="AF215:AI215"/>
    <mergeCell ref="AJ215:AO215"/>
    <mergeCell ref="AP215:AQ215"/>
    <mergeCell ref="AR215:AS215"/>
    <mergeCell ref="A215:D215"/>
    <mergeCell ref="E215:G215"/>
    <mergeCell ref="H215:Y215"/>
    <mergeCell ref="Z215:AE215"/>
    <mergeCell ref="AF214:AI214"/>
    <mergeCell ref="AJ214:AO214"/>
    <mergeCell ref="AP214:AQ214"/>
    <mergeCell ref="AR214:AS214"/>
    <mergeCell ref="A214:D214"/>
    <mergeCell ref="E214:G214"/>
    <mergeCell ref="H214:Y214"/>
    <mergeCell ref="Z214:AE214"/>
    <mergeCell ref="AF213:AI213"/>
    <mergeCell ref="AJ213:AO213"/>
    <mergeCell ref="AP213:AQ213"/>
    <mergeCell ref="AR213:AS213"/>
    <mergeCell ref="A213:D213"/>
    <mergeCell ref="E213:G213"/>
    <mergeCell ref="H213:Y213"/>
    <mergeCell ref="Z213:AE213"/>
    <mergeCell ref="AF212:AI212"/>
    <mergeCell ref="AJ212:AO212"/>
    <mergeCell ref="AP212:AQ212"/>
    <mergeCell ref="AR212:AS212"/>
    <mergeCell ref="A212:D212"/>
    <mergeCell ref="E212:G212"/>
    <mergeCell ref="H212:Y212"/>
    <mergeCell ref="Z212:AE212"/>
    <mergeCell ref="AF211:AI211"/>
    <mergeCell ref="AJ211:AO211"/>
    <mergeCell ref="AP211:AQ211"/>
    <mergeCell ref="AR211:AS211"/>
    <mergeCell ref="A211:D211"/>
    <mergeCell ref="E211:G211"/>
    <mergeCell ref="H211:Y211"/>
    <mergeCell ref="Z211:AE211"/>
    <mergeCell ref="AF210:AI210"/>
    <mergeCell ref="AJ210:AO210"/>
    <mergeCell ref="AP210:AQ210"/>
    <mergeCell ref="AR210:AS210"/>
    <mergeCell ref="A210:D210"/>
    <mergeCell ref="E210:G210"/>
    <mergeCell ref="H210:Y210"/>
    <mergeCell ref="Z210:AE210"/>
    <mergeCell ref="AF209:AI209"/>
    <mergeCell ref="AJ209:AO209"/>
    <mergeCell ref="AP209:AQ209"/>
    <mergeCell ref="AR209:AS209"/>
    <mergeCell ref="A209:D209"/>
    <mergeCell ref="E209:G209"/>
    <mergeCell ref="H209:Y209"/>
    <mergeCell ref="Z209:AE209"/>
    <mergeCell ref="AF208:AI208"/>
    <mergeCell ref="AJ208:AO208"/>
    <mergeCell ref="AP208:AQ208"/>
    <mergeCell ref="AR208:AS208"/>
    <mergeCell ref="A208:D208"/>
    <mergeCell ref="E208:G208"/>
    <mergeCell ref="H208:Y208"/>
    <mergeCell ref="Z208:AE208"/>
    <mergeCell ref="AF207:AI207"/>
    <mergeCell ref="AJ207:AO207"/>
    <mergeCell ref="AP207:AQ207"/>
    <mergeCell ref="AR207:AS207"/>
    <mergeCell ref="A207:D207"/>
    <mergeCell ref="E207:G207"/>
    <mergeCell ref="H207:Y207"/>
    <mergeCell ref="Z207:AE207"/>
    <mergeCell ref="AF206:AI206"/>
    <mergeCell ref="AJ206:AO206"/>
    <mergeCell ref="AP206:AQ206"/>
    <mergeCell ref="AR206:AS206"/>
    <mergeCell ref="A206:D206"/>
    <mergeCell ref="E206:G206"/>
    <mergeCell ref="H206:Y206"/>
    <mergeCell ref="Z206:AE206"/>
    <mergeCell ref="AF205:AI205"/>
    <mergeCell ref="AJ205:AO205"/>
    <mergeCell ref="AP205:AQ205"/>
    <mergeCell ref="AR205:AS205"/>
    <mergeCell ref="A205:D205"/>
    <mergeCell ref="E205:G205"/>
    <mergeCell ref="H205:Y205"/>
    <mergeCell ref="Z205:AE205"/>
    <mergeCell ref="AF204:AI204"/>
    <mergeCell ref="AJ204:AO204"/>
    <mergeCell ref="AP204:AQ204"/>
    <mergeCell ref="AR204:AS204"/>
    <mergeCell ref="A204:D204"/>
    <mergeCell ref="E204:G204"/>
    <mergeCell ref="H204:Y204"/>
    <mergeCell ref="Z204:AE204"/>
    <mergeCell ref="AF203:AI203"/>
    <mergeCell ref="AJ203:AO203"/>
    <mergeCell ref="AP203:AQ203"/>
    <mergeCell ref="AR203:AS203"/>
    <mergeCell ref="A203:D203"/>
    <mergeCell ref="E203:G203"/>
    <mergeCell ref="H203:Y203"/>
    <mergeCell ref="Z203:AE203"/>
    <mergeCell ref="AF202:AI202"/>
    <mergeCell ref="AJ202:AO202"/>
    <mergeCell ref="AP202:AQ202"/>
    <mergeCell ref="AR202:AS202"/>
    <mergeCell ref="A202:D202"/>
    <mergeCell ref="E202:G202"/>
    <mergeCell ref="H202:Y202"/>
    <mergeCell ref="Z202:AE202"/>
    <mergeCell ref="AF201:AI201"/>
    <mergeCell ref="AJ201:AO201"/>
    <mergeCell ref="AP201:AQ201"/>
    <mergeCell ref="AR201:AS201"/>
    <mergeCell ref="A201:D201"/>
    <mergeCell ref="E201:G201"/>
    <mergeCell ref="H201:Y201"/>
    <mergeCell ref="Z201:AE201"/>
    <mergeCell ref="AF200:AI200"/>
    <mergeCell ref="AJ200:AO200"/>
    <mergeCell ref="AP200:AQ200"/>
    <mergeCell ref="AR200:AS200"/>
    <mergeCell ref="A200:D200"/>
    <mergeCell ref="E200:G200"/>
    <mergeCell ref="H200:Y200"/>
    <mergeCell ref="Z200:AE200"/>
    <mergeCell ref="AF199:AI199"/>
    <mergeCell ref="AJ199:AO199"/>
    <mergeCell ref="AP199:AQ199"/>
    <mergeCell ref="AR199:AS199"/>
    <mergeCell ref="A199:D199"/>
    <mergeCell ref="E199:G199"/>
    <mergeCell ref="H199:Y199"/>
    <mergeCell ref="Z199:AE199"/>
    <mergeCell ref="AF198:AI198"/>
    <mergeCell ref="AJ198:AO198"/>
    <mergeCell ref="AP198:AQ198"/>
    <mergeCell ref="AR198:AS198"/>
    <mergeCell ref="A198:D198"/>
    <mergeCell ref="E198:G198"/>
    <mergeCell ref="H198:Y198"/>
    <mergeCell ref="Z198:AE198"/>
    <mergeCell ref="AR196:AS196"/>
    <mergeCell ref="A197:D197"/>
    <mergeCell ref="E197:G197"/>
    <mergeCell ref="H197:Y197"/>
    <mergeCell ref="Z197:AE197"/>
    <mergeCell ref="AF197:AI197"/>
    <mergeCell ref="AJ197:AO197"/>
    <mergeCell ref="AP197:AQ197"/>
    <mergeCell ref="AR197:AS197"/>
    <mergeCell ref="AJ195:AO195"/>
    <mergeCell ref="AP195:AQ195"/>
    <mergeCell ref="AR195:AS195"/>
    <mergeCell ref="A196:D196"/>
    <mergeCell ref="E196:G196"/>
    <mergeCell ref="H196:Y196"/>
    <mergeCell ref="Z196:AE196"/>
    <mergeCell ref="AF196:AI196"/>
    <mergeCell ref="AJ196:AO196"/>
    <mergeCell ref="AP196:AQ196"/>
    <mergeCell ref="A195:D195"/>
    <mergeCell ref="E195:Y195"/>
    <mergeCell ref="Z195:AE195"/>
    <mergeCell ref="AF195:AI195"/>
    <mergeCell ref="AF194:AI194"/>
    <mergeCell ref="AJ194:AO194"/>
    <mergeCell ref="AP194:AQ194"/>
    <mergeCell ref="AR194:AS194"/>
    <mergeCell ref="A194:D194"/>
    <mergeCell ref="E194:G194"/>
    <mergeCell ref="H194:Y194"/>
    <mergeCell ref="Z194:AE194"/>
    <mergeCell ref="AF193:AI193"/>
    <mergeCell ref="AJ193:AO193"/>
    <mergeCell ref="AP193:AQ193"/>
    <mergeCell ref="AR193:AS193"/>
    <mergeCell ref="A193:D193"/>
    <mergeCell ref="E193:G193"/>
    <mergeCell ref="H193:Y193"/>
    <mergeCell ref="Z193:AE193"/>
    <mergeCell ref="AR191:AS191"/>
    <mergeCell ref="A192:D192"/>
    <mergeCell ref="E192:G192"/>
    <mergeCell ref="H192:Y192"/>
    <mergeCell ref="Z192:AE192"/>
    <mergeCell ref="AF192:AI192"/>
    <mergeCell ref="AJ192:AO192"/>
    <mergeCell ref="AP192:AQ192"/>
    <mergeCell ref="AR192:AS192"/>
    <mergeCell ref="AJ190:AO190"/>
    <mergeCell ref="AP190:AQ190"/>
    <mergeCell ref="AR190:AS190"/>
    <mergeCell ref="A191:D191"/>
    <mergeCell ref="E191:G191"/>
    <mergeCell ref="H191:Y191"/>
    <mergeCell ref="Z191:AE191"/>
    <mergeCell ref="AF191:AI191"/>
    <mergeCell ref="AJ191:AO191"/>
    <mergeCell ref="AP191:AQ191"/>
    <mergeCell ref="A190:D190"/>
    <mergeCell ref="E190:Y190"/>
    <mergeCell ref="Z190:AE190"/>
    <mergeCell ref="AF190:AI190"/>
    <mergeCell ref="AF189:AI189"/>
    <mergeCell ref="AJ189:AO189"/>
    <mergeCell ref="AP189:AQ189"/>
    <mergeCell ref="AR189:AS189"/>
    <mergeCell ref="A189:D189"/>
    <mergeCell ref="E189:G189"/>
    <mergeCell ref="H189:Y189"/>
    <mergeCell ref="Z189:AE189"/>
    <mergeCell ref="AR187:AS187"/>
    <mergeCell ref="A188:D188"/>
    <mergeCell ref="E188:Y188"/>
    <mergeCell ref="Z188:AE188"/>
    <mergeCell ref="AF188:AI188"/>
    <mergeCell ref="AJ188:AO188"/>
    <mergeCell ref="AP188:AQ188"/>
    <mergeCell ref="AR188:AS188"/>
    <mergeCell ref="AJ186:AO186"/>
    <mergeCell ref="AP186:AQ186"/>
    <mergeCell ref="AR186:AS186"/>
    <mergeCell ref="A187:D187"/>
    <mergeCell ref="E187:G187"/>
    <mergeCell ref="H187:Y187"/>
    <mergeCell ref="Z187:AE187"/>
    <mergeCell ref="AF187:AI187"/>
    <mergeCell ref="AJ187:AO187"/>
    <mergeCell ref="AP187:AQ187"/>
    <mergeCell ref="A186:D186"/>
    <mergeCell ref="E186:Y186"/>
    <mergeCell ref="Z186:AE186"/>
    <mergeCell ref="AF186:AI186"/>
    <mergeCell ref="AR184:AS184"/>
    <mergeCell ref="A185:D185"/>
    <mergeCell ref="E185:G185"/>
    <mergeCell ref="H185:Y185"/>
    <mergeCell ref="Z185:AE185"/>
    <mergeCell ref="AF185:AI185"/>
    <mergeCell ref="AJ185:AO185"/>
    <mergeCell ref="AP185:AQ185"/>
    <mergeCell ref="AR185:AS185"/>
    <mergeCell ref="AJ183:AO183"/>
    <mergeCell ref="AP183:AQ183"/>
    <mergeCell ref="AR183:AS183"/>
    <mergeCell ref="A184:D184"/>
    <mergeCell ref="E184:G184"/>
    <mergeCell ref="H184:Y184"/>
    <mergeCell ref="Z184:AE184"/>
    <mergeCell ref="AF184:AI184"/>
    <mergeCell ref="AJ184:AO184"/>
    <mergeCell ref="AP184:AQ184"/>
    <mergeCell ref="A183:D183"/>
    <mergeCell ref="E183:Y183"/>
    <mergeCell ref="Z183:AE183"/>
    <mergeCell ref="AF183:AI183"/>
    <mergeCell ref="AR181:AS181"/>
    <mergeCell ref="A182:D182"/>
    <mergeCell ref="E182:G182"/>
    <mergeCell ref="H182:Y182"/>
    <mergeCell ref="Z182:AE182"/>
    <mergeCell ref="AF182:AI182"/>
    <mergeCell ref="AJ182:AO182"/>
    <mergeCell ref="AP182:AQ182"/>
    <mergeCell ref="AR182:AS182"/>
    <mergeCell ref="AJ180:AO180"/>
    <mergeCell ref="AP180:AQ180"/>
    <mergeCell ref="AR180:AS180"/>
    <mergeCell ref="A181:D181"/>
    <mergeCell ref="E181:G181"/>
    <mergeCell ref="H181:Y181"/>
    <mergeCell ref="Z181:AE181"/>
    <mergeCell ref="AF181:AI181"/>
    <mergeCell ref="AJ181:AO181"/>
    <mergeCell ref="AP181:AQ181"/>
    <mergeCell ref="A180:D180"/>
    <mergeCell ref="E180:Y180"/>
    <mergeCell ref="Z180:AE180"/>
    <mergeCell ref="AF180:AI180"/>
    <mergeCell ref="AF179:AI179"/>
    <mergeCell ref="AJ179:AO179"/>
    <mergeCell ref="AP179:AQ179"/>
    <mergeCell ref="AR179:AS179"/>
    <mergeCell ref="A179:D179"/>
    <mergeCell ref="E179:G179"/>
    <mergeCell ref="H179:Y179"/>
    <mergeCell ref="Z179:AE179"/>
    <mergeCell ref="AF178:AI178"/>
    <mergeCell ref="AJ178:AO178"/>
    <mergeCell ref="AP178:AQ178"/>
    <mergeCell ref="AR178:AS178"/>
    <mergeCell ref="A178:D178"/>
    <mergeCell ref="E178:G178"/>
    <mergeCell ref="H178:Y178"/>
    <mergeCell ref="Z178:AE178"/>
    <mergeCell ref="AF177:AI177"/>
    <mergeCell ref="AJ177:AO177"/>
    <mergeCell ref="AP177:AQ177"/>
    <mergeCell ref="AR177:AS177"/>
    <mergeCell ref="A177:D177"/>
    <mergeCell ref="E177:G177"/>
    <mergeCell ref="H177:Y177"/>
    <mergeCell ref="Z177:AE177"/>
    <mergeCell ref="AF176:AI176"/>
    <mergeCell ref="AJ176:AO176"/>
    <mergeCell ref="AP176:AQ176"/>
    <mergeCell ref="AR176:AS176"/>
    <mergeCell ref="A176:D176"/>
    <mergeCell ref="E176:G176"/>
    <mergeCell ref="H176:Y176"/>
    <mergeCell ref="Z176:AE176"/>
    <mergeCell ref="AF175:AI175"/>
    <mergeCell ref="AJ175:AO175"/>
    <mergeCell ref="AP175:AQ175"/>
    <mergeCell ref="AR175:AS175"/>
    <mergeCell ref="A175:D175"/>
    <mergeCell ref="E175:G175"/>
    <mergeCell ref="H175:Y175"/>
    <mergeCell ref="Z175:AE175"/>
    <mergeCell ref="AR173:AS173"/>
    <mergeCell ref="A174:D174"/>
    <mergeCell ref="E174:Y174"/>
    <mergeCell ref="Z174:AE174"/>
    <mergeCell ref="AF174:AI174"/>
    <mergeCell ref="AJ174:AO174"/>
    <mergeCell ref="AP174:AQ174"/>
    <mergeCell ref="AR174:AS174"/>
    <mergeCell ref="AJ172:AO172"/>
    <mergeCell ref="AP172:AQ172"/>
    <mergeCell ref="AR172:AS172"/>
    <mergeCell ref="A173:D173"/>
    <mergeCell ref="E173:G173"/>
    <mergeCell ref="H173:Y173"/>
    <mergeCell ref="Z173:AE173"/>
    <mergeCell ref="AF173:AI173"/>
    <mergeCell ref="AJ173:AO173"/>
    <mergeCell ref="AP173:AQ173"/>
    <mergeCell ref="A172:D172"/>
    <mergeCell ref="E172:Y172"/>
    <mergeCell ref="Z172:AE172"/>
    <mergeCell ref="AF172:AI172"/>
    <mergeCell ref="AF171:AI171"/>
    <mergeCell ref="AJ171:AO171"/>
    <mergeCell ref="AP171:AQ171"/>
    <mergeCell ref="AR171:AS171"/>
    <mergeCell ref="A171:D171"/>
    <mergeCell ref="E171:G171"/>
    <mergeCell ref="H171:Y171"/>
    <mergeCell ref="Z171:AE171"/>
    <mergeCell ref="AF170:AI170"/>
    <mergeCell ref="AJ170:AO170"/>
    <mergeCell ref="AP170:AQ170"/>
    <mergeCell ref="AR170:AS170"/>
    <mergeCell ref="A170:D170"/>
    <mergeCell ref="E170:G170"/>
    <mergeCell ref="H170:Y170"/>
    <mergeCell ref="Z170:AE170"/>
    <mergeCell ref="AF169:AI169"/>
    <mergeCell ref="AJ169:AO169"/>
    <mergeCell ref="AP169:AQ169"/>
    <mergeCell ref="AR169:AS169"/>
    <mergeCell ref="A169:D169"/>
    <mergeCell ref="E169:G169"/>
    <mergeCell ref="H169:Y169"/>
    <mergeCell ref="Z169:AE169"/>
    <mergeCell ref="AR166:AS166"/>
    <mergeCell ref="A167:D167"/>
    <mergeCell ref="E167:G167"/>
    <mergeCell ref="H167:Y167"/>
    <mergeCell ref="Z167:AE167"/>
    <mergeCell ref="AF167:AI167"/>
    <mergeCell ref="AJ167:AO167"/>
    <mergeCell ref="AP167:AQ167"/>
    <mergeCell ref="AR167:AS167"/>
    <mergeCell ref="AJ165:AO165"/>
    <mergeCell ref="AP165:AQ165"/>
    <mergeCell ref="AR165:AS165"/>
    <mergeCell ref="A166:D166"/>
    <mergeCell ref="E166:G166"/>
    <mergeCell ref="H166:Y166"/>
    <mergeCell ref="Z166:AE166"/>
    <mergeCell ref="AF166:AI166"/>
    <mergeCell ref="AJ166:AO166"/>
    <mergeCell ref="AP166:AQ166"/>
    <mergeCell ref="A165:D165"/>
    <mergeCell ref="E165:Y165"/>
    <mergeCell ref="Z165:AE165"/>
    <mergeCell ref="AF165:AI165"/>
    <mergeCell ref="AF164:AI164"/>
    <mergeCell ref="AJ164:AO164"/>
    <mergeCell ref="AP164:AQ164"/>
    <mergeCell ref="AR164:AS164"/>
    <mergeCell ref="A164:D164"/>
    <mergeCell ref="E164:G164"/>
    <mergeCell ref="H164:Y164"/>
    <mergeCell ref="Z164:AE164"/>
    <mergeCell ref="AR162:AS162"/>
    <mergeCell ref="A163:D163"/>
    <mergeCell ref="E163:G163"/>
    <mergeCell ref="H163:Y163"/>
    <mergeCell ref="Z163:AE163"/>
    <mergeCell ref="AF163:AI163"/>
    <mergeCell ref="AJ163:AO163"/>
    <mergeCell ref="AP163:AQ163"/>
    <mergeCell ref="AR163:AS163"/>
    <mergeCell ref="AJ161:AO161"/>
    <mergeCell ref="AP161:AQ161"/>
    <mergeCell ref="AR161:AS161"/>
    <mergeCell ref="A162:D162"/>
    <mergeCell ref="E162:G162"/>
    <mergeCell ref="H162:Y162"/>
    <mergeCell ref="Z162:AE162"/>
    <mergeCell ref="AF162:AI162"/>
    <mergeCell ref="AJ162:AO162"/>
    <mergeCell ref="AP162:AQ162"/>
    <mergeCell ref="A161:D161"/>
    <mergeCell ref="E161:Y161"/>
    <mergeCell ref="Z161:AE161"/>
    <mergeCell ref="AF161:AI161"/>
    <mergeCell ref="AF160:AI160"/>
    <mergeCell ref="AJ160:AO160"/>
    <mergeCell ref="AP160:AQ160"/>
    <mergeCell ref="AR160:AS160"/>
    <mergeCell ref="A160:D160"/>
    <mergeCell ref="E160:G160"/>
    <mergeCell ref="H160:Y160"/>
    <mergeCell ref="Z160:AE160"/>
    <mergeCell ref="AR158:AS158"/>
    <mergeCell ref="A159:D159"/>
    <mergeCell ref="E159:Y159"/>
    <mergeCell ref="Z159:AE159"/>
    <mergeCell ref="AF159:AI159"/>
    <mergeCell ref="AJ159:AO159"/>
    <mergeCell ref="AP159:AQ159"/>
    <mergeCell ref="AR159:AS159"/>
    <mergeCell ref="AJ157:AO157"/>
    <mergeCell ref="AP157:AQ157"/>
    <mergeCell ref="AR157:AS157"/>
    <mergeCell ref="A158:D158"/>
    <mergeCell ref="E158:G158"/>
    <mergeCell ref="H158:Y158"/>
    <mergeCell ref="Z158:AE158"/>
    <mergeCell ref="AF158:AI158"/>
    <mergeCell ref="AJ158:AO158"/>
    <mergeCell ref="AP158:AQ158"/>
    <mergeCell ref="A157:D157"/>
    <mergeCell ref="E157:Y157"/>
    <mergeCell ref="Z157:AE157"/>
    <mergeCell ref="AF157:AI157"/>
    <mergeCell ref="AF156:AI156"/>
    <mergeCell ref="AJ156:AO156"/>
    <mergeCell ref="AP156:AQ156"/>
    <mergeCell ref="AR156:AS156"/>
    <mergeCell ref="A156:D156"/>
    <mergeCell ref="E156:G156"/>
    <mergeCell ref="H156:Y156"/>
    <mergeCell ref="Z156:AE156"/>
    <mergeCell ref="AR154:AS154"/>
    <mergeCell ref="A155:D155"/>
    <mergeCell ref="E155:G155"/>
    <mergeCell ref="H155:Y155"/>
    <mergeCell ref="Z155:AE155"/>
    <mergeCell ref="AF155:AI155"/>
    <mergeCell ref="AJ155:AO155"/>
    <mergeCell ref="AP155:AQ155"/>
    <mergeCell ref="AR155:AS155"/>
    <mergeCell ref="AJ153:AO153"/>
    <mergeCell ref="AP153:AQ153"/>
    <mergeCell ref="AR153:AS153"/>
    <mergeCell ref="A154:D154"/>
    <mergeCell ref="E154:G154"/>
    <mergeCell ref="H154:Y154"/>
    <mergeCell ref="Z154:AE154"/>
    <mergeCell ref="AF154:AI154"/>
    <mergeCell ref="AJ154:AO154"/>
    <mergeCell ref="AP154:AQ154"/>
    <mergeCell ref="A153:D153"/>
    <mergeCell ref="E153:Y153"/>
    <mergeCell ref="Z153:AE153"/>
    <mergeCell ref="AF153:AI153"/>
    <mergeCell ref="AF152:AI152"/>
    <mergeCell ref="AJ152:AO152"/>
    <mergeCell ref="AP152:AQ152"/>
    <mergeCell ref="AR152:AS152"/>
    <mergeCell ref="A152:D152"/>
    <mergeCell ref="E152:G152"/>
    <mergeCell ref="H152:Y152"/>
    <mergeCell ref="Z152:AE152"/>
    <mergeCell ref="AR150:AS150"/>
    <mergeCell ref="A151:D151"/>
    <mergeCell ref="E151:Y151"/>
    <mergeCell ref="Z151:AE151"/>
    <mergeCell ref="AF151:AI151"/>
    <mergeCell ref="AJ151:AO151"/>
    <mergeCell ref="AP151:AQ151"/>
    <mergeCell ref="AR151:AS151"/>
    <mergeCell ref="AJ149:AO149"/>
    <mergeCell ref="AP149:AQ149"/>
    <mergeCell ref="AR149:AS149"/>
    <mergeCell ref="A150:D150"/>
    <mergeCell ref="E150:G150"/>
    <mergeCell ref="H150:Y150"/>
    <mergeCell ref="Z150:AE150"/>
    <mergeCell ref="AF150:AI150"/>
    <mergeCell ref="AJ150:AO150"/>
    <mergeCell ref="AP150:AQ150"/>
    <mergeCell ref="A149:D149"/>
    <mergeCell ref="E149:Y149"/>
    <mergeCell ref="Z149:AE149"/>
    <mergeCell ref="AF149:AI149"/>
    <mergeCell ref="AF148:AI148"/>
    <mergeCell ref="AJ148:AO148"/>
    <mergeCell ref="AP148:AQ148"/>
    <mergeCell ref="AR148:AS148"/>
    <mergeCell ref="A148:D148"/>
    <mergeCell ref="E148:G148"/>
    <mergeCell ref="H148:Y148"/>
    <mergeCell ref="Z148:AE148"/>
    <mergeCell ref="AF147:AI147"/>
    <mergeCell ref="AJ147:AO147"/>
    <mergeCell ref="AP147:AQ147"/>
    <mergeCell ref="AR147:AS147"/>
    <mergeCell ref="A147:D147"/>
    <mergeCell ref="E147:G147"/>
    <mergeCell ref="H147:Y147"/>
    <mergeCell ref="Z147:AE147"/>
    <mergeCell ref="AF146:AI146"/>
    <mergeCell ref="AJ146:AO146"/>
    <mergeCell ref="AP146:AQ146"/>
    <mergeCell ref="AR146:AS146"/>
    <mergeCell ref="A146:D146"/>
    <mergeCell ref="E146:G146"/>
    <mergeCell ref="H146:Y146"/>
    <mergeCell ref="Z146:AE146"/>
    <mergeCell ref="AF145:AI145"/>
    <mergeCell ref="AJ145:AO145"/>
    <mergeCell ref="AP145:AQ145"/>
    <mergeCell ref="AR145:AS145"/>
    <mergeCell ref="A145:D145"/>
    <mergeCell ref="E145:G145"/>
    <mergeCell ref="H145:Y145"/>
    <mergeCell ref="Z145:AE145"/>
    <mergeCell ref="AF144:AI144"/>
    <mergeCell ref="AJ144:AO144"/>
    <mergeCell ref="AP144:AQ144"/>
    <mergeCell ref="AR144:AS144"/>
    <mergeCell ref="A144:D144"/>
    <mergeCell ref="E144:G144"/>
    <mergeCell ref="H144:Y144"/>
    <mergeCell ref="Z144:AE144"/>
    <mergeCell ref="AF143:AI143"/>
    <mergeCell ref="AJ143:AO143"/>
    <mergeCell ref="AP143:AQ143"/>
    <mergeCell ref="AR143:AS143"/>
    <mergeCell ref="A143:D143"/>
    <mergeCell ref="E143:G143"/>
    <mergeCell ref="H143:Y143"/>
    <mergeCell ref="Z143:AE143"/>
    <mergeCell ref="AF142:AI142"/>
    <mergeCell ref="AJ142:AO142"/>
    <mergeCell ref="AP142:AQ142"/>
    <mergeCell ref="AR142:AS142"/>
    <mergeCell ref="A142:D142"/>
    <mergeCell ref="E142:G142"/>
    <mergeCell ref="H142:Y142"/>
    <mergeCell ref="Z142:AE142"/>
    <mergeCell ref="AF141:AI141"/>
    <mergeCell ref="AJ141:AO141"/>
    <mergeCell ref="AP141:AQ141"/>
    <mergeCell ref="AR141:AS141"/>
    <mergeCell ref="A141:D141"/>
    <mergeCell ref="E141:G141"/>
    <mergeCell ref="H141:Y141"/>
    <mergeCell ref="Z141:AE141"/>
    <mergeCell ref="AF140:AI140"/>
    <mergeCell ref="AJ140:AO140"/>
    <mergeCell ref="AP140:AQ140"/>
    <mergeCell ref="AR140:AS140"/>
    <mergeCell ref="A140:D140"/>
    <mergeCell ref="E140:G140"/>
    <mergeCell ref="H140:Y140"/>
    <mergeCell ref="Z140:AE140"/>
    <mergeCell ref="AF139:AI139"/>
    <mergeCell ref="AJ139:AO139"/>
    <mergeCell ref="AP139:AQ139"/>
    <mergeCell ref="AR139:AS139"/>
    <mergeCell ref="A139:D139"/>
    <mergeCell ref="E139:G139"/>
    <mergeCell ref="H139:Y139"/>
    <mergeCell ref="Z139:AE139"/>
    <mergeCell ref="AF138:AI138"/>
    <mergeCell ref="AJ138:AO138"/>
    <mergeCell ref="AP138:AQ138"/>
    <mergeCell ref="AR138:AS138"/>
    <mergeCell ref="A138:D138"/>
    <mergeCell ref="E138:G138"/>
    <mergeCell ref="H138:Y138"/>
    <mergeCell ref="Z138:AE138"/>
    <mergeCell ref="AF137:AI137"/>
    <mergeCell ref="AJ137:AO137"/>
    <mergeCell ref="AP137:AQ137"/>
    <mergeCell ref="AR137:AS137"/>
    <mergeCell ref="A137:D137"/>
    <mergeCell ref="E137:G137"/>
    <mergeCell ref="H137:Y137"/>
    <mergeCell ref="Z137:AE137"/>
    <mergeCell ref="AF136:AI136"/>
    <mergeCell ref="AJ136:AO136"/>
    <mergeCell ref="AP136:AQ136"/>
    <mergeCell ref="AR136:AS136"/>
    <mergeCell ref="A136:D136"/>
    <mergeCell ref="E136:G136"/>
    <mergeCell ref="H136:Y136"/>
    <mergeCell ref="Z136:AE136"/>
    <mergeCell ref="AF135:AI135"/>
    <mergeCell ref="AJ135:AO135"/>
    <mergeCell ref="AP135:AQ135"/>
    <mergeCell ref="AR135:AS135"/>
    <mergeCell ref="A135:D135"/>
    <mergeCell ref="E135:G135"/>
    <mergeCell ref="H135:Y135"/>
    <mergeCell ref="Z135:AE135"/>
    <mergeCell ref="AF134:AI134"/>
    <mergeCell ref="AJ134:AO134"/>
    <mergeCell ref="AP134:AQ134"/>
    <mergeCell ref="AR134:AS134"/>
    <mergeCell ref="A134:D134"/>
    <mergeCell ref="E134:G134"/>
    <mergeCell ref="H134:Y134"/>
    <mergeCell ref="Z134:AE134"/>
    <mergeCell ref="AF133:AI133"/>
    <mergeCell ref="AJ133:AO133"/>
    <mergeCell ref="AP133:AQ133"/>
    <mergeCell ref="AR133:AS133"/>
    <mergeCell ref="A133:D133"/>
    <mergeCell ref="E133:G133"/>
    <mergeCell ref="H133:Y133"/>
    <mergeCell ref="Z133:AE133"/>
    <mergeCell ref="AF132:AI132"/>
    <mergeCell ref="AJ132:AO132"/>
    <mergeCell ref="AP132:AQ132"/>
    <mergeCell ref="AR132:AS132"/>
    <mergeCell ref="A132:D132"/>
    <mergeCell ref="E132:G132"/>
    <mergeCell ref="H132:Y132"/>
    <mergeCell ref="Z132:AE132"/>
    <mergeCell ref="AF131:AI131"/>
    <mergeCell ref="AJ131:AO131"/>
    <mergeCell ref="AP131:AQ131"/>
    <mergeCell ref="AR131:AS131"/>
    <mergeCell ref="A131:D131"/>
    <mergeCell ref="E131:G131"/>
    <mergeCell ref="H131:Y131"/>
    <mergeCell ref="Z131:AE131"/>
    <mergeCell ref="AR129:AS129"/>
    <mergeCell ref="A130:D130"/>
    <mergeCell ref="E130:G130"/>
    <mergeCell ref="H130:Y130"/>
    <mergeCell ref="Z130:AE130"/>
    <mergeCell ref="AF130:AI130"/>
    <mergeCell ref="AJ130:AO130"/>
    <mergeCell ref="AP130:AQ130"/>
    <mergeCell ref="AR130:AS130"/>
    <mergeCell ref="AJ128:AO128"/>
    <mergeCell ref="AP128:AQ128"/>
    <mergeCell ref="AR128:AS128"/>
    <mergeCell ref="A129:D129"/>
    <mergeCell ref="E129:G129"/>
    <mergeCell ref="H129:Y129"/>
    <mergeCell ref="Z129:AE129"/>
    <mergeCell ref="AF129:AI129"/>
    <mergeCell ref="AJ129:AO129"/>
    <mergeCell ref="AP129:AQ129"/>
    <mergeCell ref="A128:D128"/>
    <mergeCell ref="E128:Y128"/>
    <mergeCell ref="Z128:AE128"/>
    <mergeCell ref="AF128:AI128"/>
    <mergeCell ref="AF127:AI127"/>
    <mergeCell ref="AJ127:AO127"/>
    <mergeCell ref="AP127:AQ127"/>
    <mergeCell ref="AR127:AS127"/>
    <mergeCell ref="A127:D127"/>
    <mergeCell ref="E127:G127"/>
    <mergeCell ref="H127:Y127"/>
    <mergeCell ref="Z127:AE127"/>
    <mergeCell ref="AF126:AI126"/>
    <mergeCell ref="AJ126:AO126"/>
    <mergeCell ref="AP126:AQ126"/>
    <mergeCell ref="AR126:AS126"/>
    <mergeCell ref="A126:D126"/>
    <mergeCell ref="E126:G126"/>
    <mergeCell ref="H126:Y126"/>
    <mergeCell ref="Z126:AE126"/>
    <mergeCell ref="AF125:AI125"/>
    <mergeCell ref="AJ125:AO125"/>
    <mergeCell ref="AP125:AQ125"/>
    <mergeCell ref="AR125:AS125"/>
    <mergeCell ref="A125:D125"/>
    <mergeCell ref="E125:G125"/>
    <mergeCell ref="H125:Y125"/>
    <mergeCell ref="Z125:AE125"/>
    <mergeCell ref="AF124:AI124"/>
    <mergeCell ref="AJ124:AO124"/>
    <mergeCell ref="AP124:AQ124"/>
    <mergeCell ref="AR124:AS124"/>
    <mergeCell ref="A124:D124"/>
    <mergeCell ref="E124:G124"/>
    <mergeCell ref="H124:Y124"/>
    <mergeCell ref="Z124:AE124"/>
    <mergeCell ref="AF123:AI123"/>
    <mergeCell ref="AJ123:AO123"/>
    <mergeCell ref="AP123:AQ123"/>
    <mergeCell ref="AR123:AS123"/>
    <mergeCell ref="A123:D123"/>
    <mergeCell ref="E123:G123"/>
    <mergeCell ref="H123:Y123"/>
    <mergeCell ref="Z123:AE123"/>
    <mergeCell ref="AF122:AI122"/>
    <mergeCell ref="AJ122:AO122"/>
    <mergeCell ref="AP122:AQ122"/>
    <mergeCell ref="AR122:AS122"/>
    <mergeCell ref="A122:D122"/>
    <mergeCell ref="E122:G122"/>
    <mergeCell ref="H122:Y122"/>
    <mergeCell ref="Z122:AE122"/>
    <mergeCell ref="AF121:AI121"/>
    <mergeCell ref="AJ121:AO121"/>
    <mergeCell ref="AP121:AQ121"/>
    <mergeCell ref="AR121:AS121"/>
    <mergeCell ref="A121:D121"/>
    <mergeCell ref="E121:G121"/>
    <mergeCell ref="H121:Y121"/>
    <mergeCell ref="Z121:AE121"/>
    <mergeCell ref="AF120:AI120"/>
    <mergeCell ref="AJ120:AO120"/>
    <mergeCell ref="AP120:AQ120"/>
    <mergeCell ref="AR120:AS120"/>
    <mergeCell ref="A120:D120"/>
    <mergeCell ref="E120:G120"/>
    <mergeCell ref="H120:Y120"/>
    <mergeCell ref="Z120:AE120"/>
    <mergeCell ref="AF119:AI119"/>
    <mergeCell ref="AJ119:AO119"/>
    <mergeCell ref="AP119:AQ119"/>
    <mergeCell ref="AR119:AS119"/>
    <mergeCell ref="A119:D119"/>
    <mergeCell ref="E119:G119"/>
    <mergeCell ref="H119:Y119"/>
    <mergeCell ref="Z119:AE119"/>
    <mergeCell ref="AF118:AI118"/>
    <mergeCell ref="AJ118:AO118"/>
    <mergeCell ref="AP118:AQ118"/>
    <mergeCell ref="AR118:AS118"/>
    <mergeCell ref="A118:D118"/>
    <mergeCell ref="E118:G118"/>
    <mergeCell ref="H118:Y118"/>
    <mergeCell ref="Z118:AE118"/>
    <mergeCell ref="AF117:AI117"/>
    <mergeCell ref="AJ117:AO117"/>
    <mergeCell ref="AP117:AQ117"/>
    <mergeCell ref="AR117:AS117"/>
    <mergeCell ref="A117:D117"/>
    <mergeCell ref="E117:G117"/>
    <mergeCell ref="H117:Y117"/>
    <mergeCell ref="Z117:AE117"/>
    <mergeCell ref="AF116:AI116"/>
    <mergeCell ref="AJ116:AO116"/>
    <mergeCell ref="AP116:AQ116"/>
    <mergeCell ref="AR116:AS116"/>
    <mergeCell ref="A116:D116"/>
    <mergeCell ref="E116:G116"/>
    <mergeCell ref="H116:Y116"/>
    <mergeCell ref="Z116:AE116"/>
    <mergeCell ref="AF115:AI115"/>
    <mergeCell ref="AJ115:AO115"/>
    <mergeCell ref="AP115:AQ115"/>
    <mergeCell ref="AR115:AS115"/>
    <mergeCell ref="A115:D115"/>
    <mergeCell ref="E115:G115"/>
    <mergeCell ref="H115:Y115"/>
    <mergeCell ref="Z115:AE115"/>
    <mergeCell ref="AF114:AI114"/>
    <mergeCell ref="AJ114:AO114"/>
    <mergeCell ref="AP114:AQ114"/>
    <mergeCell ref="AR114:AS114"/>
    <mergeCell ref="A114:D114"/>
    <mergeCell ref="E114:G114"/>
    <mergeCell ref="H114:Y114"/>
    <mergeCell ref="Z114:AE114"/>
    <mergeCell ref="AF113:AI113"/>
    <mergeCell ref="AJ113:AO113"/>
    <mergeCell ref="AP113:AQ113"/>
    <mergeCell ref="AR113:AS113"/>
    <mergeCell ref="A113:D113"/>
    <mergeCell ref="E113:G113"/>
    <mergeCell ref="H113:Y113"/>
    <mergeCell ref="Z113:AE113"/>
    <mergeCell ref="AR110:AS110"/>
    <mergeCell ref="A111:D111"/>
    <mergeCell ref="E111:G111"/>
    <mergeCell ref="H111:Y111"/>
    <mergeCell ref="Z111:AE111"/>
    <mergeCell ref="AF111:AI111"/>
    <mergeCell ref="AJ111:AO111"/>
    <mergeCell ref="AP111:AQ111"/>
    <mergeCell ref="AR111:AS111"/>
    <mergeCell ref="AJ109:AO109"/>
    <mergeCell ref="AP109:AQ109"/>
    <mergeCell ref="AR109:AS109"/>
    <mergeCell ref="A110:D110"/>
    <mergeCell ref="E110:G110"/>
    <mergeCell ref="H110:Y110"/>
    <mergeCell ref="Z110:AE110"/>
    <mergeCell ref="AF110:AI110"/>
    <mergeCell ref="AJ110:AO110"/>
    <mergeCell ref="AP110:AQ110"/>
    <mergeCell ref="A109:D109"/>
    <mergeCell ref="E109:Y109"/>
    <mergeCell ref="Z109:AE109"/>
    <mergeCell ref="AF109:AI109"/>
    <mergeCell ref="AF108:AI108"/>
    <mergeCell ref="AJ108:AO108"/>
    <mergeCell ref="AP108:AQ108"/>
    <mergeCell ref="AR108:AS108"/>
    <mergeCell ref="A108:D108"/>
    <mergeCell ref="E108:G108"/>
    <mergeCell ref="H108:Y108"/>
    <mergeCell ref="Z108:AE108"/>
    <mergeCell ref="AF107:AI107"/>
    <mergeCell ref="AJ107:AO107"/>
    <mergeCell ref="AP107:AQ107"/>
    <mergeCell ref="AR107:AS107"/>
    <mergeCell ref="A107:D107"/>
    <mergeCell ref="E107:G107"/>
    <mergeCell ref="H107:Y107"/>
    <mergeCell ref="Z107:AE107"/>
    <mergeCell ref="AF106:AI106"/>
    <mergeCell ref="AJ106:AO106"/>
    <mergeCell ref="AP106:AQ106"/>
    <mergeCell ref="AR106:AS106"/>
    <mergeCell ref="A106:D106"/>
    <mergeCell ref="E106:G106"/>
    <mergeCell ref="H106:Y106"/>
    <mergeCell ref="Z106:AE106"/>
    <mergeCell ref="AF105:AI105"/>
    <mergeCell ref="AJ105:AO105"/>
    <mergeCell ref="AP105:AQ105"/>
    <mergeCell ref="AR105:AS105"/>
    <mergeCell ref="A105:D105"/>
    <mergeCell ref="E105:G105"/>
    <mergeCell ref="H105:Y105"/>
    <mergeCell ref="Z105:AE105"/>
    <mergeCell ref="AF104:AI104"/>
    <mergeCell ref="AJ104:AO104"/>
    <mergeCell ref="AP104:AQ104"/>
    <mergeCell ref="AR104:AS104"/>
    <mergeCell ref="A104:D104"/>
    <mergeCell ref="E104:G104"/>
    <mergeCell ref="H104:Y104"/>
    <mergeCell ref="Z104:AE104"/>
    <mergeCell ref="AF103:AI103"/>
    <mergeCell ref="AJ103:AO103"/>
    <mergeCell ref="AP103:AQ103"/>
    <mergeCell ref="AR103:AS103"/>
    <mergeCell ref="A103:D103"/>
    <mergeCell ref="E103:G103"/>
    <mergeCell ref="H103:Y103"/>
    <mergeCell ref="Z103:AE103"/>
    <mergeCell ref="AF102:AI102"/>
    <mergeCell ref="AJ102:AO102"/>
    <mergeCell ref="AP102:AQ102"/>
    <mergeCell ref="AR102:AS102"/>
    <mergeCell ref="A102:D102"/>
    <mergeCell ref="E102:G102"/>
    <mergeCell ref="H102:Y102"/>
    <mergeCell ref="Z102:AE102"/>
    <mergeCell ref="AF101:AI101"/>
    <mergeCell ref="AJ101:AO101"/>
    <mergeCell ref="AP101:AQ101"/>
    <mergeCell ref="AR101:AS101"/>
    <mergeCell ref="A101:D101"/>
    <mergeCell ref="E101:G101"/>
    <mergeCell ref="H101:Y101"/>
    <mergeCell ref="Z101:AE101"/>
    <mergeCell ref="AF100:AI100"/>
    <mergeCell ref="AJ100:AO100"/>
    <mergeCell ref="AP100:AQ100"/>
    <mergeCell ref="AR100:AS100"/>
    <mergeCell ref="A100:D100"/>
    <mergeCell ref="E100:G100"/>
    <mergeCell ref="H100:Y100"/>
    <mergeCell ref="Z100:AE100"/>
    <mergeCell ref="AF99:AI99"/>
    <mergeCell ref="AJ99:AO99"/>
    <mergeCell ref="AP99:AQ99"/>
    <mergeCell ref="AR99:AS99"/>
    <mergeCell ref="A99:D99"/>
    <mergeCell ref="E99:G99"/>
    <mergeCell ref="H99:Y99"/>
    <mergeCell ref="Z99:AE99"/>
    <mergeCell ref="AF98:AI98"/>
    <mergeCell ref="AJ98:AO98"/>
    <mergeCell ref="AP98:AQ98"/>
    <mergeCell ref="AR98:AS98"/>
    <mergeCell ref="A98:D98"/>
    <mergeCell ref="E98:G98"/>
    <mergeCell ref="H98:Y98"/>
    <mergeCell ref="Z98:AE98"/>
    <mergeCell ref="AF97:AI97"/>
    <mergeCell ref="AJ97:AO97"/>
    <mergeCell ref="AP97:AQ97"/>
    <mergeCell ref="AR97:AS97"/>
    <mergeCell ref="A97:D97"/>
    <mergeCell ref="E97:G97"/>
    <mergeCell ref="H97:Y97"/>
    <mergeCell ref="Z97:AE97"/>
    <mergeCell ref="AF96:AI96"/>
    <mergeCell ref="AJ96:AO96"/>
    <mergeCell ref="AP96:AQ96"/>
    <mergeCell ref="AR96:AS96"/>
    <mergeCell ref="A96:D96"/>
    <mergeCell ref="E96:G96"/>
    <mergeCell ref="H96:Y96"/>
    <mergeCell ref="Z96:AE96"/>
    <mergeCell ref="AF95:AI95"/>
    <mergeCell ref="AJ95:AO95"/>
    <mergeCell ref="AP95:AQ95"/>
    <mergeCell ref="AR95:AS95"/>
    <mergeCell ref="A95:D95"/>
    <mergeCell ref="E95:G95"/>
    <mergeCell ref="H95:Y95"/>
    <mergeCell ref="Z95:AE95"/>
    <mergeCell ref="AF94:AI94"/>
    <mergeCell ref="AJ94:AO94"/>
    <mergeCell ref="AP94:AQ94"/>
    <mergeCell ref="AR94:AS94"/>
    <mergeCell ref="A94:D94"/>
    <mergeCell ref="E94:G94"/>
    <mergeCell ref="H94:Y94"/>
    <mergeCell ref="Z94:AE94"/>
    <mergeCell ref="AF93:AI93"/>
    <mergeCell ref="AJ93:AO93"/>
    <mergeCell ref="AP93:AQ93"/>
    <mergeCell ref="AR93:AS93"/>
    <mergeCell ref="A93:D93"/>
    <mergeCell ref="E93:G93"/>
    <mergeCell ref="H93:Y93"/>
    <mergeCell ref="Z93:AE93"/>
    <mergeCell ref="AR91:AS91"/>
    <mergeCell ref="A92:D92"/>
    <mergeCell ref="E92:Y92"/>
    <mergeCell ref="Z92:AE92"/>
    <mergeCell ref="AF92:AI92"/>
    <mergeCell ref="AJ92:AO92"/>
    <mergeCell ref="AP92:AQ92"/>
    <mergeCell ref="AR92:AS92"/>
    <mergeCell ref="AJ90:AO90"/>
    <mergeCell ref="AP90:AQ90"/>
    <mergeCell ref="AR90:AS90"/>
    <mergeCell ref="A91:D91"/>
    <mergeCell ref="E91:G91"/>
    <mergeCell ref="H91:Y91"/>
    <mergeCell ref="Z91:AE91"/>
    <mergeCell ref="AF91:AI91"/>
    <mergeCell ref="AJ91:AO91"/>
    <mergeCell ref="AP91:AQ91"/>
    <mergeCell ref="A90:D90"/>
    <mergeCell ref="E90:Y90"/>
    <mergeCell ref="Z90:AE90"/>
    <mergeCell ref="AF90:AI90"/>
    <mergeCell ref="AF89:AI89"/>
    <mergeCell ref="AJ89:AO89"/>
    <mergeCell ref="AP89:AQ89"/>
    <mergeCell ref="AR89:AS89"/>
    <mergeCell ref="A89:D89"/>
    <mergeCell ref="E89:G89"/>
    <mergeCell ref="H89:Y89"/>
    <mergeCell ref="Z89:AE89"/>
    <mergeCell ref="AF88:AI88"/>
    <mergeCell ref="AJ88:AO88"/>
    <mergeCell ref="AP88:AQ88"/>
    <mergeCell ref="AR88:AS88"/>
    <mergeCell ref="A88:D88"/>
    <mergeCell ref="E88:G88"/>
    <mergeCell ref="H88:Y88"/>
    <mergeCell ref="Z88:AE88"/>
    <mergeCell ref="AR86:AS86"/>
    <mergeCell ref="A87:D87"/>
    <mergeCell ref="E87:G87"/>
    <mergeCell ref="H87:Y87"/>
    <mergeCell ref="Z87:AE87"/>
    <mergeCell ref="AF87:AI87"/>
    <mergeCell ref="AJ87:AO87"/>
    <mergeCell ref="AP87:AQ87"/>
    <mergeCell ref="AR87:AS87"/>
    <mergeCell ref="AJ85:AO85"/>
    <mergeCell ref="AP85:AQ85"/>
    <mergeCell ref="AR85:AS85"/>
    <mergeCell ref="A86:D86"/>
    <mergeCell ref="E86:G86"/>
    <mergeCell ref="H86:Y86"/>
    <mergeCell ref="Z86:AE86"/>
    <mergeCell ref="AF86:AI86"/>
    <mergeCell ref="AJ86:AO86"/>
    <mergeCell ref="AP86:AQ86"/>
    <mergeCell ref="A85:D85"/>
    <mergeCell ref="E85:Y85"/>
    <mergeCell ref="Z85:AE85"/>
    <mergeCell ref="AF85:AI85"/>
    <mergeCell ref="AF84:AI84"/>
    <mergeCell ref="AJ84:AO84"/>
    <mergeCell ref="AP84:AQ84"/>
    <mergeCell ref="AR84:AS84"/>
    <mergeCell ref="A84:D84"/>
    <mergeCell ref="E84:G84"/>
    <mergeCell ref="H84:Y84"/>
    <mergeCell ref="Z84:AE84"/>
    <mergeCell ref="AF83:AI83"/>
    <mergeCell ref="AJ83:AO83"/>
    <mergeCell ref="AP83:AQ83"/>
    <mergeCell ref="AR83:AS83"/>
    <mergeCell ref="A83:D83"/>
    <mergeCell ref="E83:G83"/>
    <mergeCell ref="H83:Y83"/>
    <mergeCell ref="Z83:AE83"/>
    <mergeCell ref="AF82:AI82"/>
    <mergeCell ref="AJ82:AO82"/>
    <mergeCell ref="AP82:AQ82"/>
    <mergeCell ref="AR82:AS82"/>
    <mergeCell ref="A82:D82"/>
    <mergeCell ref="E82:G82"/>
    <mergeCell ref="H82:Y82"/>
    <mergeCell ref="Z82:AE82"/>
    <mergeCell ref="AF81:AI81"/>
    <mergeCell ref="AJ81:AO81"/>
    <mergeCell ref="AP81:AQ81"/>
    <mergeCell ref="AR81:AS81"/>
    <mergeCell ref="A81:D81"/>
    <mergeCell ref="E81:G81"/>
    <mergeCell ref="H81:Y81"/>
    <mergeCell ref="Z81:AE81"/>
    <mergeCell ref="AR79:AS79"/>
    <mergeCell ref="A80:D80"/>
    <mergeCell ref="E80:G80"/>
    <mergeCell ref="H80:Y80"/>
    <mergeCell ref="Z80:AE80"/>
    <mergeCell ref="AF80:AI80"/>
    <mergeCell ref="AJ80:AO80"/>
    <mergeCell ref="AP80:AQ80"/>
    <mergeCell ref="AR80:AS80"/>
    <mergeCell ref="AJ78:AO78"/>
    <mergeCell ref="AP78:AQ78"/>
    <mergeCell ref="AR78:AS78"/>
    <mergeCell ref="A79:D79"/>
    <mergeCell ref="E79:G79"/>
    <mergeCell ref="H79:Y79"/>
    <mergeCell ref="Z79:AE79"/>
    <mergeCell ref="AF79:AI79"/>
    <mergeCell ref="AJ79:AO79"/>
    <mergeCell ref="AP79:AQ79"/>
    <mergeCell ref="A78:D78"/>
    <mergeCell ref="E78:Y78"/>
    <mergeCell ref="Z78:AE78"/>
    <mergeCell ref="AF78:AI78"/>
    <mergeCell ref="AF77:AI77"/>
    <mergeCell ref="AJ77:AO77"/>
    <mergeCell ref="AP77:AQ77"/>
    <mergeCell ref="AR77:AS77"/>
    <mergeCell ref="A77:D77"/>
    <mergeCell ref="E77:G77"/>
    <mergeCell ref="H77:Y77"/>
    <mergeCell ref="Z77:AE77"/>
    <mergeCell ref="AF76:AI76"/>
    <mergeCell ref="AJ76:AO76"/>
    <mergeCell ref="AP76:AQ76"/>
    <mergeCell ref="AR76:AS76"/>
    <mergeCell ref="A76:D76"/>
    <mergeCell ref="E76:G76"/>
    <mergeCell ref="H76:Y76"/>
    <mergeCell ref="Z76:AE76"/>
    <mergeCell ref="AF75:AI75"/>
    <mergeCell ref="AJ75:AO75"/>
    <mergeCell ref="AP75:AQ75"/>
    <mergeCell ref="AR75:AS75"/>
    <mergeCell ref="A75:D75"/>
    <mergeCell ref="E75:G75"/>
    <mergeCell ref="H75:Y75"/>
    <mergeCell ref="Z75:AE75"/>
    <mergeCell ref="AF74:AI74"/>
    <mergeCell ref="AJ74:AO74"/>
    <mergeCell ref="AP74:AQ74"/>
    <mergeCell ref="AR74:AS74"/>
    <mergeCell ref="A74:D74"/>
    <mergeCell ref="E74:G74"/>
    <mergeCell ref="H74:Y74"/>
    <mergeCell ref="Z74:AE74"/>
    <mergeCell ref="AR72:AS72"/>
    <mergeCell ref="A73:D73"/>
    <mergeCell ref="E73:Y73"/>
    <mergeCell ref="Z73:AE73"/>
    <mergeCell ref="AF73:AI73"/>
    <mergeCell ref="AJ73:AO73"/>
    <mergeCell ref="AP73:AQ73"/>
    <mergeCell ref="AR73:AS73"/>
    <mergeCell ref="AJ71:AO71"/>
    <mergeCell ref="AP71:AQ71"/>
    <mergeCell ref="AR71:AS71"/>
    <mergeCell ref="A72:D72"/>
    <mergeCell ref="E72:G72"/>
    <mergeCell ref="H72:Y72"/>
    <mergeCell ref="Z72:AE72"/>
    <mergeCell ref="AF72:AI72"/>
    <mergeCell ref="AJ72:AO72"/>
    <mergeCell ref="AP72:AQ72"/>
    <mergeCell ref="A71:D71"/>
    <mergeCell ref="E71:Y71"/>
    <mergeCell ref="Z71:AE71"/>
    <mergeCell ref="AF71:AI71"/>
    <mergeCell ref="AR69:AS69"/>
    <mergeCell ref="A70:D70"/>
    <mergeCell ref="E70:G70"/>
    <mergeCell ref="H70:Y70"/>
    <mergeCell ref="Z70:AE70"/>
    <mergeCell ref="AF70:AI70"/>
    <mergeCell ref="AJ70:AO70"/>
    <mergeCell ref="AP70:AQ70"/>
    <mergeCell ref="AR70:AS70"/>
    <mergeCell ref="AJ68:AO68"/>
    <mergeCell ref="AP68:AQ68"/>
    <mergeCell ref="AR68:AS68"/>
    <mergeCell ref="A69:D69"/>
    <mergeCell ref="E69:G69"/>
    <mergeCell ref="H69:Y69"/>
    <mergeCell ref="Z69:AE69"/>
    <mergeCell ref="AF69:AI69"/>
    <mergeCell ref="AJ69:AO69"/>
    <mergeCell ref="AP69:AQ69"/>
    <mergeCell ref="A68:D68"/>
    <mergeCell ref="E68:Y68"/>
    <mergeCell ref="Z68:AE68"/>
    <mergeCell ref="AF68:AI68"/>
    <mergeCell ref="AF67:AI67"/>
    <mergeCell ref="AJ67:AO67"/>
    <mergeCell ref="AP67:AQ67"/>
    <mergeCell ref="AR67:AS67"/>
    <mergeCell ref="A67:D67"/>
    <mergeCell ref="E67:G67"/>
    <mergeCell ref="H67:Y67"/>
    <mergeCell ref="Z67:AE67"/>
    <mergeCell ref="AF66:AI66"/>
    <mergeCell ref="AJ66:AO66"/>
    <mergeCell ref="AP66:AQ66"/>
    <mergeCell ref="AR66:AS66"/>
    <mergeCell ref="A66:D66"/>
    <mergeCell ref="E66:G66"/>
    <mergeCell ref="H66:Y66"/>
    <mergeCell ref="Z66:AE66"/>
    <mergeCell ref="AF65:AI65"/>
    <mergeCell ref="AJ65:AO65"/>
    <mergeCell ref="AP65:AQ65"/>
    <mergeCell ref="AR65:AS65"/>
    <mergeCell ref="A65:D65"/>
    <mergeCell ref="E65:G65"/>
    <mergeCell ref="H65:Y65"/>
    <mergeCell ref="Z65:AE65"/>
    <mergeCell ref="AR63:AS63"/>
    <mergeCell ref="A64:D64"/>
    <mergeCell ref="E64:G64"/>
    <mergeCell ref="H64:Y64"/>
    <mergeCell ref="Z64:AE64"/>
    <mergeCell ref="AF64:AI64"/>
    <mergeCell ref="AJ64:AO64"/>
    <mergeCell ref="AP64:AQ64"/>
    <mergeCell ref="AR64:AS64"/>
    <mergeCell ref="AJ62:AO62"/>
    <mergeCell ref="AP62:AQ62"/>
    <mergeCell ref="AR62:AS62"/>
    <mergeCell ref="A63:D63"/>
    <mergeCell ref="E63:G63"/>
    <mergeCell ref="H63:Y63"/>
    <mergeCell ref="Z63:AE63"/>
    <mergeCell ref="AF63:AI63"/>
    <mergeCell ref="AJ63:AO63"/>
    <mergeCell ref="AP63:AQ63"/>
    <mergeCell ref="A62:D62"/>
    <mergeCell ref="E62:Y62"/>
    <mergeCell ref="Z62:AE62"/>
    <mergeCell ref="AF62:AI62"/>
    <mergeCell ref="AF61:AI61"/>
    <mergeCell ref="AJ61:AO61"/>
    <mergeCell ref="AP61:AQ61"/>
    <mergeCell ref="AR61:AS61"/>
    <mergeCell ref="A61:D61"/>
    <mergeCell ref="E61:G61"/>
    <mergeCell ref="H61:Y61"/>
    <mergeCell ref="Z61:AE61"/>
    <mergeCell ref="A57:AS57"/>
    <mergeCell ref="A58:AS58"/>
    <mergeCell ref="A60:D60"/>
    <mergeCell ref="E60:G60"/>
    <mergeCell ref="H60:Y60"/>
    <mergeCell ref="Z60:AE60"/>
    <mergeCell ref="AF60:AI60"/>
    <mergeCell ref="AJ60:AO60"/>
    <mergeCell ref="AP60:AQ60"/>
    <mergeCell ref="AR60:AS60"/>
    <mergeCell ref="AF56:AI56"/>
    <mergeCell ref="AJ56:AO56"/>
    <mergeCell ref="AP56:AQ56"/>
    <mergeCell ref="AR56:AS56"/>
    <mergeCell ref="A56:D56"/>
    <mergeCell ref="E56:G56"/>
    <mergeCell ref="H56:Y56"/>
    <mergeCell ref="Z56:AE56"/>
    <mergeCell ref="AF55:AI55"/>
    <mergeCell ref="AJ55:AO55"/>
    <mergeCell ref="AP55:AQ55"/>
    <mergeCell ref="AR55:AS55"/>
    <mergeCell ref="A55:D55"/>
    <mergeCell ref="E55:G55"/>
    <mergeCell ref="H55:Y55"/>
    <mergeCell ref="Z55:AE55"/>
    <mergeCell ref="AJ53:AO53"/>
    <mergeCell ref="AP53:AQ53"/>
    <mergeCell ref="AR53:AS53"/>
    <mergeCell ref="A54:Y54"/>
    <mergeCell ref="Z54:AE54"/>
    <mergeCell ref="AF54:AI54"/>
    <mergeCell ref="AJ54:AO54"/>
    <mergeCell ref="AP54:AQ54"/>
    <mergeCell ref="AR54:AS54"/>
    <mergeCell ref="A53:D53"/>
    <mergeCell ref="E53:Y53"/>
    <mergeCell ref="Z53:AE53"/>
    <mergeCell ref="AF53:AI53"/>
    <mergeCell ref="AF52:AI52"/>
    <mergeCell ref="AJ52:AO52"/>
    <mergeCell ref="AP52:AQ52"/>
    <mergeCell ref="AR52:AS52"/>
    <mergeCell ref="A52:D52"/>
    <mergeCell ref="E52:G52"/>
    <mergeCell ref="H52:Y52"/>
    <mergeCell ref="Z52:AE52"/>
    <mergeCell ref="AR50:AS50"/>
    <mergeCell ref="A51:D51"/>
    <mergeCell ref="E51:Y51"/>
    <mergeCell ref="Z51:AE51"/>
    <mergeCell ref="AF51:AI51"/>
    <mergeCell ref="AJ51:AO51"/>
    <mergeCell ref="AP51:AQ51"/>
    <mergeCell ref="AR51:AS51"/>
    <mergeCell ref="AJ49:AO49"/>
    <mergeCell ref="AP49:AQ49"/>
    <mergeCell ref="AR49:AS49"/>
    <mergeCell ref="A50:D50"/>
    <mergeCell ref="E50:G50"/>
    <mergeCell ref="H50:Y50"/>
    <mergeCell ref="Z50:AE50"/>
    <mergeCell ref="AF50:AI50"/>
    <mergeCell ref="AJ50:AO50"/>
    <mergeCell ref="AP50:AQ50"/>
    <mergeCell ref="A49:D49"/>
    <mergeCell ref="E49:Y49"/>
    <mergeCell ref="Z49:AE49"/>
    <mergeCell ref="AF49:AI49"/>
    <mergeCell ref="AF48:AI48"/>
    <mergeCell ref="AJ48:AO48"/>
    <mergeCell ref="AP48:AQ48"/>
    <mergeCell ref="AR48:AS48"/>
    <mergeCell ref="A48:D48"/>
    <mergeCell ref="E48:G48"/>
    <mergeCell ref="H48:Y48"/>
    <mergeCell ref="Z48:AE48"/>
    <mergeCell ref="AF47:AI47"/>
    <mergeCell ref="AJ47:AO47"/>
    <mergeCell ref="AP47:AQ47"/>
    <mergeCell ref="AR47:AS47"/>
    <mergeCell ref="A47:D47"/>
    <mergeCell ref="E47:G47"/>
    <mergeCell ref="H47:Y47"/>
    <mergeCell ref="Z47:AE47"/>
    <mergeCell ref="AF46:AI46"/>
    <mergeCell ref="AJ46:AO46"/>
    <mergeCell ref="AP46:AQ46"/>
    <mergeCell ref="AR46:AS46"/>
    <mergeCell ref="A46:D46"/>
    <mergeCell ref="E46:G46"/>
    <mergeCell ref="H46:Y46"/>
    <mergeCell ref="Z46:AE46"/>
    <mergeCell ref="AR44:AS44"/>
    <mergeCell ref="A45:D45"/>
    <mergeCell ref="E45:G45"/>
    <mergeCell ref="H45:Y45"/>
    <mergeCell ref="Z45:AE45"/>
    <mergeCell ref="AF45:AI45"/>
    <mergeCell ref="AJ45:AO45"/>
    <mergeCell ref="AP45:AQ45"/>
    <mergeCell ref="AR45:AS45"/>
    <mergeCell ref="AJ42:AO42"/>
    <mergeCell ref="AP42:AQ42"/>
    <mergeCell ref="AR42:AS42"/>
    <mergeCell ref="A44:D44"/>
    <mergeCell ref="E44:G44"/>
    <mergeCell ref="H44:Y44"/>
    <mergeCell ref="Z44:AE44"/>
    <mergeCell ref="AF44:AI44"/>
    <mergeCell ref="AJ44:AO44"/>
    <mergeCell ref="AP44:AQ44"/>
    <mergeCell ref="A42:D42"/>
    <mergeCell ref="E42:Y42"/>
    <mergeCell ref="Z42:AE42"/>
    <mergeCell ref="AF42:AI42"/>
    <mergeCell ref="AF41:AI41"/>
    <mergeCell ref="AJ41:AO41"/>
    <mergeCell ref="AP41:AQ41"/>
    <mergeCell ref="AR41:AS41"/>
    <mergeCell ref="A41:D41"/>
    <mergeCell ref="E41:G41"/>
    <mergeCell ref="H41:Y41"/>
    <mergeCell ref="Z41:AE41"/>
    <mergeCell ref="AR39:AS39"/>
    <mergeCell ref="A40:D40"/>
    <mergeCell ref="E40:Y40"/>
    <mergeCell ref="Z40:AE40"/>
    <mergeCell ref="AF40:AI40"/>
    <mergeCell ref="AJ40:AO40"/>
    <mergeCell ref="AP40:AQ40"/>
    <mergeCell ref="AR40:AS40"/>
    <mergeCell ref="AJ38:AO38"/>
    <mergeCell ref="AP38:AQ38"/>
    <mergeCell ref="AR38:AS38"/>
    <mergeCell ref="A39:D39"/>
    <mergeCell ref="E39:G39"/>
    <mergeCell ref="H39:Y39"/>
    <mergeCell ref="Z39:AE39"/>
    <mergeCell ref="AF39:AI39"/>
    <mergeCell ref="AJ39:AO39"/>
    <mergeCell ref="AP39:AQ39"/>
    <mergeCell ref="A38:D38"/>
    <mergeCell ref="E38:Y38"/>
    <mergeCell ref="Z38:AE38"/>
    <mergeCell ref="AF38:AI38"/>
    <mergeCell ref="AF37:AI37"/>
    <mergeCell ref="AJ37:AO37"/>
    <mergeCell ref="AP37:AQ37"/>
    <mergeCell ref="AR37:AS37"/>
    <mergeCell ref="A37:D37"/>
    <mergeCell ref="E37:G37"/>
    <mergeCell ref="H37:Y37"/>
    <mergeCell ref="Z37:AE37"/>
    <mergeCell ref="AR35:AS35"/>
    <mergeCell ref="A36:D36"/>
    <mergeCell ref="E36:Y36"/>
    <mergeCell ref="Z36:AE36"/>
    <mergeCell ref="AF36:AI36"/>
    <mergeCell ref="AJ36:AO36"/>
    <mergeCell ref="AP36:AQ36"/>
    <mergeCell ref="AR36:AS36"/>
    <mergeCell ref="AJ34:AO34"/>
    <mergeCell ref="AP34:AQ34"/>
    <mergeCell ref="AR34:AS34"/>
    <mergeCell ref="A35:D35"/>
    <mergeCell ref="E35:G35"/>
    <mergeCell ref="H35:Y35"/>
    <mergeCell ref="Z35:AE35"/>
    <mergeCell ref="AF35:AI35"/>
    <mergeCell ref="AJ35:AO35"/>
    <mergeCell ref="AP35:AQ35"/>
    <mergeCell ref="A34:D34"/>
    <mergeCell ref="E34:Y34"/>
    <mergeCell ref="Z34:AE34"/>
    <mergeCell ref="AF34:AI34"/>
    <mergeCell ref="AF33:AI33"/>
    <mergeCell ref="AJ33:AO33"/>
    <mergeCell ref="AP33:AQ33"/>
    <mergeCell ref="AR33:AS33"/>
    <mergeCell ref="A33:D33"/>
    <mergeCell ref="E33:G33"/>
    <mergeCell ref="H33:Y33"/>
    <mergeCell ref="Z33:AE33"/>
    <mergeCell ref="AF32:AI32"/>
    <mergeCell ref="AJ32:AO32"/>
    <mergeCell ref="AP32:AQ32"/>
    <mergeCell ref="AR32:AS32"/>
    <mergeCell ref="A32:D32"/>
    <mergeCell ref="E32:G32"/>
    <mergeCell ref="H32:Y32"/>
    <mergeCell ref="Z32:AE32"/>
    <mergeCell ref="AF31:AI31"/>
    <mergeCell ref="AJ31:AO31"/>
    <mergeCell ref="AP31:AQ31"/>
    <mergeCell ref="AR31:AS31"/>
    <mergeCell ref="A31:D31"/>
    <mergeCell ref="E31:G31"/>
    <mergeCell ref="H31:Y31"/>
    <mergeCell ref="Z31:AE31"/>
    <mergeCell ref="AF30:AI30"/>
    <mergeCell ref="AJ30:AO30"/>
    <mergeCell ref="AP30:AQ30"/>
    <mergeCell ref="AR30:AS30"/>
    <mergeCell ref="A30:D30"/>
    <mergeCell ref="E30:G30"/>
    <mergeCell ref="H30:Y30"/>
    <mergeCell ref="Z30:AE30"/>
    <mergeCell ref="AF29:AI29"/>
    <mergeCell ref="AJ29:AO29"/>
    <mergeCell ref="AP29:AQ29"/>
    <mergeCell ref="AR29:AS29"/>
    <mergeCell ref="A29:D29"/>
    <mergeCell ref="E29:G29"/>
    <mergeCell ref="H29:Y29"/>
    <mergeCell ref="Z29:AE29"/>
    <mergeCell ref="AF28:AI28"/>
    <mergeCell ref="AJ28:AO28"/>
    <mergeCell ref="AP28:AQ28"/>
    <mergeCell ref="AR28:AS28"/>
    <mergeCell ref="A28:D28"/>
    <mergeCell ref="E28:G28"/>
    <mergeCell ref="H28:Y28"/>
    <mergeCell ref="Z28:AE28"/>
    <mergeCell ref="AF27:AI27"/>
    <mergeCell ref="AJ27:AO27"/>
    <mergeCell ref="AP27:AQ27"/>
    <mergeCell ref="AR27:AS27"/>
    <mergeCell ref="A27:D27"/>
    <mergeCell ref="E27:G27"/>
    <mergeCell ref="H27:Y27"/>
    <mergeCell ref="Z27:AE27"/>
    <mergeCell ref="AF26:AI26"/>
    <mergeCell ref="AJ26:AO26"/>
    <mergeCell ref="AP26:AQ26"/>
    <mergeCell ref="AR26:AS26"/>
    <mergeCell ref="A26:D26"/>
    <mergeCell ref="E26:G26"/>
    <mergeCell ref="H26:Y26"/>
    <mergeCell ref="Z26:AE26"/>
    <mergeCell ref="AF25:AI25"/>
    <mergeCell ref="AJ25:AO25"/>
    <mergeCell ref="AP25:AQ25"/>
    <mergeCell ref="AR25:AS25"/>
    <mergeCell ref="A25:D25"/>
    <mergeCell ref="E25:G25"/>
    <mergeCell ref="H25:Y25"/>
    <mergeCell ref="Z25:AE25"/>
    <mergeCell ref="AF24:AI24"/>
    <mergeCell ref="AJ24:AO24"/>
    <mergeCell ref="AP24:AQ24"/>
    <mergeCell ref="AR24:AS24"/>
    <mergeCell ref="A24:D24"/>
    <mergeCell ref="E24:G24"/>
    <mergeCell ref="H24:Y24"/>
    <mergeCell ref="Z24:AE24"/>
    <mergeCell ref="AF23:AI23"/>
    <mergeCell ref="AJ23:AO23"/>
    <mergeCell ref="AP23:AQ23"/>
    <mergeCell ref="AR23:AS23"/>
    <mergeCell ref="A23:D23"/>
    <mergeCell ref="E23:G23"/>
    <mergeCell ref="H23:Y23"/>
    <mergeCell ref="Z23:AE23"/>
    <mergeCell ref="AF22:AI22"/>
    <mergeCell ref="AJ22:AO22"/>
    <mergeCell ref="AP22:AQ22"/>
    <mergeCell ref="AR22:AS22"/>
    <mergeCell ref="A22:D22"/>
    <mergeCell ref="E22:G22"/>
    <mergeCell ref="H22:Y22"/>
    <mergeCell ref="Z22:AE22"/>
    <mergeCell ref="AF21:AI21"/>
    <mergeCell ref="AJ21:AO21"/>
    <mergeCell ref="AP21:AQ21"/>
    <mergeCell ref="AR21:AS21"/>
    <mergeCell ref="A21:D21"/>
    <mergeCell ref="E21:G21"/>
    <mergeCell ref="H21:Y21"/>
    <mergeCell ref="Z21:AE21"/>
    <mergeCell ref="AF20:AI20"/>
    <mergeCell ref="AJ20:AO20"/>
    <mergeCell ref="AP20:AQ20"/>
    <mergeCell ref="AR20:AS20"/>
    <mergeCell ref="A20:D20"/>
    <mergeCell ref="E20:G20"/>
    <mergeCell ref="H20:Y20"/>
    <mergeCell ref="Z20:AE20"/>
    <mergeCell ref="AF19:AI19"/>
    <mergeCell ref="AJ19:AO19"/>
    <mergeCell ref="AP19:AQ19"/>
    <mergeCell ref="AR19:AS19"/>
    <mergeCell ref="A19:D19"/>
    <mergeCell ref="E19:G19"/>
    <mergeCell ref="H19:Y19"/>
    <mergeCell ref="Z19:AE19"/>
    <mergeCell ref="AF18:AI18"/>
    <mergeCell ref="AJ18:AO18"/>
    <mergeCell ref="AP18:AQ18"/>
    <mergeCell ref="AR18:AS18"/>
    <mergeCell ref="A18:D18"/>
    <mergeCell ref="E18:G18"/>
    <mergeCell ref="H18:Y18"/>
    <mergeCell ref="Z18:AE18"/>
    <mergeCell ref="AF17:AI17"/>
    <mergeCell ref="AJ17:AO17"/>
    <mergeCell ref="AP17:AQ17"/>
    <mergeCell ref="AR17:AS17"/>
    <mergeCell ref="A17:D17"/>
    <mergeCell ref="E17:G17"/>
    <mergeCell ref="H17:Y17"/>
    <mergeCell ref="Z17:AE17"/>
    <mergeCell ref="AF16:AI16"/>
    <mergeCell ref="AJ16:AO16"/>
    <mergeCell ref="AP16:AQ16"/>
    <mergeCell ref="AR16:AS16"/>
    <mergeCell ref="A16:D16"/>
    <mergeCell ref="E16:G16"/>
    <mergeCell ref="H16:Y16"/>
    <mergeCell ref="Z16:AE16"/>
    <mergeCell ref="AF14:AI14"/>
    <mergeCell ref="AJ14:AO14"/>
    <mergeCell ref="AP14:AQ14"/>
    <mergeCell ref="AR14:AS14"/>
    <mergeCell ref="A14:D14"/>
    <mergeCell ref="E14:G14"/>
    <mergeCell ref="H14:Y14"/>
    <mergeCell ref="Z14:AE14"/>
    <mergeCell ref="AF13:AI13"/>
    <mergeCell ref="AJ13:AO13"/>
    <mergeCell ref="AP13:AQ13"/>
    <mergeCell ref="AR13:AS13"/>
    <mergeCell ref="A13:D13"/>
    <mergeCell ref="E13:G13"/>
    <mergeCell ref="H13:Y13"/>
    <mergeCell ref="Z13:AE13"/>
    <mergeCell ref="A11:I11"/>
    <mergeCell ref="J11:X11"/>
    <mergeCell ref="Y11:AS11"/>
    <mergeCell ref="A12:AS12"/>
    <mergeCell ref="A9:I9"/>
    <mergeCell ref="J9:X9"/>
    <mergeCell ref="Y9:AS9"/>
    <mergeCell ref="A10:I10"/>
    <mergeCell ref="J10:X10"/>
    <mergeCell ref="Y10:AS10"/>
    <mergeCell ref="Y7:AS7"/>
    <mergeCell ref="A8:I8"/>
    <mergeCell ref="J8:K8"/>
    <mergeCell ref="L8:N8"/>
    <mergeCell ref="O8:X8"/>
    <mergeCell ref="Y8:AS8"/>
    <mergeCell ref="A7:I7"/>
    <mergeCell ref="J7:K7"/>
    <mergeCell ref="L7:N7"/>
    <mergeCell ref="O7:X7"/>
    <mergeCell ref="A5:I5"/>
    <mergeCell ref="J5:AS5"/>
    <mergeCell ref="A6:I6"/>
    <mergeCell ref="J6:AS6"/>
    <mergeCell ref="A3:I3"/>
    <mergeCell ref="J3:AS3"/>
    <mergeCell ref="A4:B4"/>
    <mergeCell ref="C4:I4"/>
    <mergeCell ref="J4:AS4"/>
    <mergeCell ref="A1:I1"/>
    <mergeCell ref="J1:AS1"/>
    <mergeCell ref="A2:I2"/>
    <mergeCell ref="J2:AN2"/>
    <mergeCell ref="AO2:AS2"/>
  </mergeCells>
  <printOptions/>
  <pageMargins left="0.3937007874015748" right="0.3937007874015748" top="0.5905511811023623" bottom="0.5905511811023623" header="0.31496062992125984" footer="0.31496062992125984"/>
  <pageSetup horizontalDpi="200" verticalDpi="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92"/>
  <sheetViews>
    <sheetView workbookViewId="0" topLeftCell="A1">
      <selection activeCell="W17" sqref="W17:Z17"/>
    </sheetView>
  </sheetViews>
  <sheetFormatPr defaultColWidth="9.140625" defaultRowHeight="12.75"/>
  <cols>
    <col min="1" max="4" width="1.57421875" style="0" customWidth="1"/>
    <col min="5" max="5" width="4.57421875" style="0" customWidth="1"/>
    <col min="6" max="7" width="7.421875" style="0" customWidth="1"/>
    <col min="8" max="8" width="1.57421875" style="0" customWidth="1"/>
    <col min="9" max="9" width="5.8515625" style="0" customWidth="1"/>
    <col min="10" max="10" width="4.57421875" style="0" customWidth="1"/>
    <col min="11" max="11" width="1.57421875" style="0" customWidth="1"/>
    <col min="12" max="12" width="5.8515625" style="0" customWidth="1"/>
    <col min="13" max="14" width="1.57421875" style="0" customWidth="1"/>
    <col min="15" max="15" width="7.421875" style="0" customWidth="1"/>
    <col min="16" max="16" width="9.00390625" style="0" customWidth="1"/>
    <col min="17" max="17" width="3.00390625" style="0" customWidth="1"/>
    <col min="18" max="18" width="4.57421875" style="0" customWidth="1"/>
    <col min="19" max="19" width="7.421875" style="0" customWidth="1"/>
    <col min="20" max="20" width="1.57421875" style="0" customWidth="1"/>
    <col min="21" max="21" width="9.00390625" style="0" customWidth="1"/>
    <col min="22" max="22" width="1.57421875" style="0" customWidth="1"/>
    <col min="23" max="23" width="9.00390625" style="0" customWidth="1"/>
    <col min="24" max="24" width="4.57421875" style="0" customWidth="1"/>
    <col min="25" max="25" width="1.57421875" style="0" customWidth="1"/>
    <col min="26" max="26" width="4.57421875" style="0" customWidth="1"/>
    <col min="27" max="28" width="19.421875" style="0" customWidth="1"/>
  </cols>
  <sheetData>
    <row r="1" spans="1:28" ht="13.5" thickBot="1">
      <c r="A1" s="389" t="s">
        <v>946</v>
      </c>
      <c r="B1" s="389"/>
      <c r="C1" s="389"/>
      <c r="D1" s="389"/>
      <c r="E1" s="389"/>
      <c r="F1" s="389"/>
      <c r="G1" s="389"/>
      <c r="H1" s="389"/>
      <c r="I1" s="390" t="s">
        <v>947</v>
      </c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</row>
    <row r="2" spans="1:28" ht="20.25" customHeight="1">
      <c r="A2" s="343"/>
      <c r="B2" s="343"/>
      <c r="C2" s="343"/>
      <c r="D2" s="343"/>
      <c r="E2" s="343"/>
      <c r="F2" s="343"/>
      <c r="G2" s="343"/>
      <c r="H2" s="343"/>
      <c r="I2" s="341" t="s">
        <v>948</v>
      </c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</row>
    <row r="3" spans="1:28" ht="12.75">
      <c r="A3" s="343"/>
      <c r="B3" s="343"/>
      <c r="C3" s="392"/>
      <c r="D3" s="392"/>
      <c r="E3" s="392"/>
      <c r="F3" s="392"/>
      <c r="G3" s="392"/>
      <c r="H3" s="392"/>
      <c r="I3" s="348" t="s">
        <v>949</v>
      </c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</row>
    <row r="4" spans="1:28" ht="12.75">
      <c r="A4" s="343"/>
      <c r="B4" s="343"/>
      <c r="C4" s="343"/>
      <c r="D4" s="343"/>
      <c r="E4" s="343"/>
      <c r="F4" s="343"/>
      <c r="G4" s="343"/>
      <c r="H4" s="343"/>
      <c r="I4" s="343" t="s">
        <v>950</v>
      </c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</row>
    <row r="5" spans="1:28" ht="12.75" customHeight="1">
      <c r="A5" s="343"/>
      <c r="B5" s="343"/>
      <c r="C5" s="343"/>
      <c r="D5" s="343"/>
      <c r="E5" s="343"/>
      <c r="F5" s="343"/>
      <c r="G5" s="343"/>
      <c r="H5" s="343"/>
      <c r="I5" s="393" t="s">
        <v>951</v>
      </c>
      <c r="J5" s="393"/>
      <c r="K5" s="344" t="s">
        <v>952</v>
      </c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</row>
    <row r="6" spans="1:28" ht="12.75" customHeight="1">
      <c r="A6" s="343"/>
      <c r="B6" s="343"/>
      <c r="C6" s="343"/>
      <c r="D6" s="343"/>
      <c r="E6" s="343"/>
      <c r="F6" s="343"/>
      <c r="G6" s="343"/>
      <c r="H6" s="343"/>
      <c r="I6" s="343" t="s">
        <v>1543</v>
      </c>
      <c r="J6" s="343"/>
      <c r="K6" s="344" t="s">
        <v>953</v>
      </c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</row>
    <row r="7" spans="1:28" ht="13.5" thickBot="1">
      <c r="A7" s="345"/>
      <c r="B7" s="345"/>
      <c r="C7" s="345"/>
      <c r="D7" s="345"/>
      <c r="E7" s="345"/>
      <c r="F7" s="345"/>
      <c r="G7" s="345"/>
      <c r="H7" s="345"/>
      <c r="I7" s="345" t="s">
        <v>954</v>
      </c>
      <c r="J7" s="345"/>
      <c r="K7" s="450" t="s">
        <v>955</v>
      </c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</row>
    <row r="8" spans="1:28" ht="9.75" customHeight="1" thickBot="1">
      <c r="A8" s="350" t="s">
        <v>956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1" t="s">
        <v>957</v>
      </c>
      <c r="R8" s="451"/>
      <c r="S8" s="452" t="s">
        <v>958</v>
      </c>
      <c r="T8" s="453"/>
      <c r="U8" s="453"/>
      <c r="V8" s="453"/>
      <c r="W8" s="453"/>
      <c r="X8" s="453"/>
      <c r="Y8" s="453"/>
      <c r="Z8" s="454"/>
      <c r="AA8" s="452" t="s">
        <v>959</v>
      </c>
      <c r="AB8" s="453"/>
    </row>
    <row r="9" spans="1:28" ht="9.75" customHeight="1">
      <c r="A9" s="455" t="s">
        <v>960</v>
      </c>
      <c r="B9" s="455"/>
      <c r="C9" s="455"/>
      <c r="D9" s="455"/>
      <c r="E9" s="455" t="s">
        <v>2124</v>
      </c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6" t="s">
        <v>961</v>
      </c>
      <c r="R9" s="457"/>
      <c r="S9" s="458" t="s">
        <v>1339</v>
      </c>
      <c r="T9" s="351"/>
      <c r="U9" s="351"/>
      <c r="V9" s="351"/>
      <c r="W9" s="351" t="s">
        <v>962</v>
      </c>
      <c r="X9" s="351"/>
      <c r="Y9" s="351"/>
      <c r="Z9" s="451"/>
      <c r="AA9" s="459" t="s">
        <v>1339</v>
      </c>
      <c r="AB9" s="459" t="s">
        <v>962</v>
      </c>
    </row>
    <row r="10" spans="1:28" ht="9.75" customHeight="1" thickBot="1">
      <c r="A10" s="460"/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1"/>
      <c r="R10" s="462"/>
      <c r="S10" s="463" t="s">
        <v>1659</v>
      </c>
      <c r="T10" s="464"/>
      <c r="U10" s="464"/>
      <c r="V10" s="464"/>
      <c r="W10" s="461" t="s">
        <v>1729</v>
      </c>
      <c r="X10" s="461"/>
      <c r="Y10" s="461"/>
      <c r="Z10" s="462"/>
      <c r="AA10" s="465" t="s">
        <v>2336</v>
      </c>
      <c r="AB10" s="466" t="s">
        <v>1785</v>
      </c>
    </row>
    <row r="11" spans="1:28" ht="13.5" thickBot="1">
      <c r="A11" s="363" t="s">
        <v>963</v>
      </c>
      <c r="B11" s="363"/>
      <c r="C11" s="363"/>
      <c r="D11" s="363"/>
      <c r="E11" s="363" t="s">
        <v>964</v>
      </c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467"/>
      <c r="S11" s="468"/>
      <c r="T11" s="468"/>
      <c r="U11" s="468"/>
      <c r="V11" s="468"/>
      <c r="W11" s="468">
        <v>11333141.05</v>
      </c>
      <c r="X11" s="468"/>
      <c r="Y11" s="468"/>
      <c r="Z11" s="468"/>
      <c r="AA11" s="469"/>
      <c r="AB11" s="469">
        <v>8816009.83</v>
      </c>
    </row>
    <row r="12" spans="1:28" ht="13.5" thickBot="1">
      <c r="A12" s="470"/>
      <c r="B12" s="369" t="s">
        <v>965</v>
      </c>
      <c r="C12" s="369"/>
      <c r="D12" s="470"/>
      <c r="E12" s="356" t="s">
        <v>966</v>
      </c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471"/>
      <c r="S12" s="472"/>
      <c r="T12" s="472"/>
      <c r="U12" s="472"/>
      <c r="V12" s="472"/>
      <c r="W12" s="472">
        <v>11333141.05</v>
      </c>
      <c r="X12" s="472"/>
      <c r="Y12" s="472"/>
      <c r="Z12" s="472"/>
      <c r="AA12" s="473"/>
      <c r="AB12" s="473">
        <v>8784743.33</v>
      </c>
    </row>
    <row r="13" spans="1:28" ht="10.5" customHeight="1">
      <c r="A13" s="474"/>
      <c r="B13" s="355" t="s">
        <v>1492</v>
      </c>
      <c r="C13" s="355"/>
      <c r="D13" s="355"/>
      <c r="E13" s="354" t="s">
        <v>967</v>
      </c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474" t="s">
        <v>1809</v>
      </c>
      <c r="S13" s="475"/>
      <c r="T13" s="475"/>
      <c r="U13" s="475"/>
      <c r="V13" s="475"/>
      <c r="W13" s="475">
        <v>115367.32</v>
      </c>
      <c r="X13" s="475"/>
      <c r="Y13" s="475"/>
      <c r="Z13" s="475"/>
      <c r="AA13" s="476"/>
      <c r="AB13" s="476">
        <v>168422.64</v>
      </c>
    </row>
    <row r="14" spans="1:28" ht="10.5" customHeight="1">
      <c r="A14" s="474"/>
      <c r="B14" s="352" t="s">
        <v>1496</v>
      </c>
      <c r="C14" s="352"/>
      <c r="D14" s="352"/>
      <c r="E14" s="343" t="s">
        <v>968</v>
      </c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474" t="s">
        <v>1820</v>
      </c>
      <c r="S14" s="477"/>
      <c r="T14" s="477"/>
      <c r="U14" s="477"/>
      <c r="V14" s="477"/>
      <c r="W14" s="477">
        <v>869014.14</v>
      </c>
      <c r="X14" s="477"/>
      <c r="Y14" s="477"/>
      <c r="Z14" s="477"/>
      <c r="AA14" s="476"/>
      <c r="AB14" s="476">
        <v>721330.97</v>
      </c>
    </row>
    <row r="15" spans="1:28" ht="10.5" customHeight="1">
      <c r="A15" s="474"/>
      <c r="B15" s="352" t="s">
        <v>1500</v>
      </c>
      <c r="C15" s="352"/>
      <c r="D15" s="352"/>
      <c r="E15" s="343" t="s">
        <v>969</v>
      </c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474" t="s">
        <v>1840</v>
      </c>
      <c r="S15" s="477"/>
      <c r="T15" s="477"/>
      <c r="U15" s="477"/>
      <c r="V15" s="477"/>
      <c r="W15" s="477"/>
      <c r="X15" s="477"/>
      <c r="Y15" s="477"/>
      <c r="Z15" s="477"/>
      <c r="AA15" s="476"/>
      <c r="AB15" s="476"/>
    </row>
    <row r="16" spans="1:28" ht="10.5" customHeight="1">
      <c r="A16" s="474"/>
      <c r="B16" s="352" t="s">
        <v>1506</v>
      </c>
      <c r="C16" s="352"/>
      <c r="D16" s="352"/>
      <c r="E16" s="343" t="s">
        <v>970</v>
      </c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474" t="s">
        <v>971</v>
      </c>
      <c r="S16" s="477"/>
      <c r="T16" s="477"/>
      <c r="U16" s="477"/>
      <c r="V16" s="477"/>
      <c r="W16" s="478">
        <v>-116200</v>
      </c>
      <c r="X16" s="478"/>
      <c r="Y16" s="478"/>
      <c r="Z16" s="478"/>
      <c r="AA16" s="476"/>
      <c r="AB16" s="476"/>
    </row>
    <row r="17" spans="1:28" ht="10.5" customHeight="1">
      <c r="A17" s="474"/>
      <c r="B17" s="352" t="s">
        <v>1512</v>
      </c>
      <c r="C17" s="352"/>
      <c r="D17" s="352"/>
      <c r="E17" s="343" t="s">
        <v>972</v>
      </c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474" t="s">
        <v>973</v>
      </c>
      <c r="S17" s="477"/>
      <c r="T17" s="477"/>
      <c r="U17" s="477"/>
      <c r="V17" s="477"/>
      <c r="W17" s="477"/>
      <c r="X17" s="477"/>
      <c r="Y17" s="477"/>
      <c r="Z17" s="477"/>
      <c r="AA17" s="476"/>
      <c r="AB17" s="476"/>
    </row>
    <row r="18" spans="1:28" ht="10.5" customHeight="1">
      <c r="A18" s="474"/>
      <c r="B18" s="352" t="s">
        <v>1515</v>
      </c>
      <c r="C18" s="352"/>
      <c r="D18" s="352"/>
      <c r="E18" s="343" t="s">
        <v>974</v>
      </c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474" t="s">
        <v>975</v>
      </c>
      <c r="S18" s="477"/>
      <c r="T18" s="477"/>
      <c r="U18" s="477"/>
      <c r="V18" s="477"/>
      <c r="W18" s="477"/>
      <c r="X18" s="477"/>
      <c r="Y18" s="477"/>
      <c r="Z18" s="477"/>
      <c r="AA18" s="476"/>
      <c r="AB18" s="476"/>
    </row>
    <row r="19" spans="1:28" ht="10.5" customHeight="1">
      <c r="A19" s="474"/>
      <c r="B19" s="352" t="s">
        <v>1521</v>
      </c>
      <c r="C19" s="352"/>
      <c r="D19" s="352"/>
      <c r="E19" s="343" t="s">
        <v>976</v>
      </c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474" t="s">
        <v>977</v>
      </c>
      <c r="S19" s="477"/>
      <c r="T19" s="477"/>
      <c r="U19" s="477"/>
      <c r="V19" s="477"/>
      <c r="W19" s="477"/>
      <c r="X19" s="477"/>
      <c r="Y19" s="477"/>
      <c r="Z19" s="477"/>
      <c r="AA19" s="476"/>
      <c r="AB19" s="476"/>
    </row>
    <row r="20" spans="1:28" ht="10.5" customHeight="1">
      <c r="A20" s="474"/>
      <c r="B20" s="352" t="s">
        <v>1527</v>
      </c>
      <c r="C20" s="352"/>
      <c r="D20" s="352"/>
      <c r="E20" s="343" t="s">
        <v>1941</v>
      </c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474" t="s">
        <v>978</v>
      </c>
      <c r="S20" s="477"/>
      <c r="T20" s="477"/>
      <c r="U20" s="477"/>
      <c r="V20" s="477"/>
      <c r="W20" s="477">
        <v>3741763.2</v>
      </c>
      <c r="X20" s="477"/>
      <c r="Y20" s="477"/>
      <c r="Z20" s="477"/>
      <c r="AA20" s="476"/>
      <c r="AB20" s="476">
        <v>1985599.21</v>
      </c>
    </row>
    <row r="21" spans="1:28" ht="10.5" customHeight="1">
      <c r="A21" s="474"/>
      <c r="B21" s="352" t="s">
        <v>1529</v>
      </c>
      <c r="C21" s="352"/>
      <c r="D21" s="352"/>
      <c r="E21" s="343" t="s">
        <v>979</v>
      </c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474" t="s">
        <v>980</v>
      </c>
      <c r="S21" s="477"/>
      <c r="T21" s="477"/>
      <c r="U21" s="477"/>
      <c r="V21" s="477"/>
      <c r="W21" s="477"/>
      <c r="X21" s="477"/>
      <c r="Y21" s="477"/>
      <c r="Z21" s="477"/>
      <c r="AA21" s="476"/>
      <c r="AB21" s="476"/>
    </row>
    <row r="22" spans="1:28" ht="10.5" customHeight="1">
      <c r="A22" s="474"/>
      <c r="B22" s="352" t="s">
        <v>1531</v>
      </c>
      <c r="C22" s="352"/>
      <c r="D22" s="352"/>
      <c r="E22" s="343" t="s">
        <v>981</v>
      </c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474" t="s">
        <v>1870</v>
      </c>
      <c r="S22" s="477"/>
      <c r="T22" s="477"/>
      <c r="U22" s="477"/>
      <c r="V22" s="477"/>
      <c r="W22" s="477"/>
      <c r="X22" s="477"/>
      <c r="Y22" s="477"/>
      <c r="Z22" s="477"/>
      <c r="AA22" s="476"/>
      <c r="AB22" s="476"/>
    </row>
    <row r="23" spans="1:28" ht="10.5" customHeight="1">
      <c r="A23" s="474"/>
      <c r="B23" s="352" t="s">
        <v>982</v>
      </c>
      <c r="C23" s="352"/>
      <c r="D23" s="352"/>
      <c r="E23" s="343" t="s">
        <v>983</v>
      </c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474" t="s">
        <v>1935</v>
      </c>
      <c r="S23" s="477"/>
      <c r="T23" s="477"/>
      <c r="U23" s="477"/>
      <c r="V23" s="477"/>
      <c r="W23" s="477"/>
      <c r="X23" s="477"/>
      <c r="Y23" s="477"/>
      <c r="Z23" s="477"/>
      <c r="AA23" s="476"/>
      <c r="AB23" s="476"/>
    </row>
    <row r="24" spans="1:28" ht="10.5" customHeight="1">
      <c r="A24" s="474"/>
      <c r="B24" s="352" t="s">
        <v>984</v>
      </c>
      <c r="C24" s="352"/>
      <c r="D24" s="352"/>
      <c r="E24" s="343" t="s">
        <v>985</v>
      </c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474" t="s">
        <v>986</v>
      </c>
      <c r="S24" s="477"/>
      <c r="T24" s="477"/>
      <c r="U24" s="477"/>
      <c r="V24" s="477"/>
      <c r="W24" s="477">
        <v>2046167.82</v>
      </c>
      <c r="X24" s="477"/>
      <c r="Y24" s="477"/>
      <c r="Z24" s="477"/>
      <c r="AA24" s="476"/>
      <c r="AB24" s="476">
        <v>1237021.38</v>
      </c>
    </row>
    <row r="25" spans="1:28" ht="10.5" customHeight="1">
      <c r="A25" s="474"/>
      <c r="B25" s="352" t="s">
        <v>987</v>
      </c>
      <c r="C25" s="352"/>
      <c r="D25" s="352"/>
      <c r="E25" s="343" t="s">
        <v>988</v>
      </c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474" t="s">
        <v>989</v>
      </c>
      <c r="S25" s="477"/>
      <c r="T25" s="477"/>
      <c r="U25" s="477"/>
      <c r="V25" s="477"/>
      <c r="W25" s="477">
        <v>3040733</v>
      </c>
      <c r="X25" s="477"/>
      <c r="Y25" s="477"/>
      <c r="Z25" s="477"/>
      <c r="AA25" s="476"/>
      <c r="AB25" s="476">
        <v>2811166.5</v>
      </c>
    </row>
    <row r="26" spans="1:28" ht="10.5" customHeight="1">
      <c r="A26" s="474"/>
      <c r="B26" s="352" t="s">
        <v>990</v>
      </c>
      <c r="C26" s="352"/>
      <c r="D26" s="352"/>
      <c r="E26" s="343" t="s">
        <v>991</v>
      </c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474" t="s">
        <v>992</v>
      </c>
      <c r="S26" s="477"/>
      <c r="T26" s="477"/>
      <c r="U26" s="477"/>
      <c r="V26" s="477"/>
      <c r="W26" s="477">
        <v>993012</v>
      </c>
      <c r="X26" s="477"/>
      <c r="Y26" s="477"/>
      <c r="Z26" s="477"/>
      <c r="AA26" s="476"/>
      <c r="AB26" s="476">
        <v>937916.5</v>
      </c>
    </row>
    <row r="27" spans="1:28" ht="10.5" customHeight="1">
      <c r="A27" s="474"/>
      <c r="B27" s="352" t="s">
        <v>993</v>
      </c>
      <c r="C27" s="352"/>
      <c r="D27" s="352"/>
      <c r="E27" s="343" t="s">
        <v>994</v>
      </c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474" t="s">
        <v>995</v>
      </c>
      <c r="S27" s="477"/>
      <c r="T27" s="477"/>
      <c r="U27" s="477"/>
      <c r="V27" s="477"/>
      <c r="W27" s="477"/>
      <c r="X27" s="477"/>
      <c r="Y27" s="477"/>
      <c r="Z27" s="477"/>
      <c r="AA27" s="476"/>
      <c r="AB27" s="476"/>
    </row>
    <row r="28" spans="1:28" ht="10.5" customHeight="1">
      <c r="A28" s="474"/>
      <c r="B28" s="352" t="s">
        <v>996</v>
      </c>
      <c r="C28" s="352"/>
      <c r="D28" s="352"/>
      <c r="E28" s="343" t="s">
        <v>997</v>
      </c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474" t="s">
        <v>998</v>
      </c>
      <c r="S28" s="477"/>
      <c r="T28" s="477"/>
      <c r="U28" s="477"/>
      <c r="V28" s="477"/>
      <c r="W28" s="477"/>
      <c r="X28" s="477"/>
      <c r="Y28" s="477"/>
      <c r="Z28" s="477"/>
      <c r="AA28" s="476"/>
      <c r="AB28" s="476"/>
    </row>
    <row r="29" spans="1:28" ht="10.5" customHeight="1">
      <c r="A29" s="474"/>
      <c r="B29" s="352" t="s">
        <v>999</v>
      </c>
      <c r="C29" s="352"/>
      <c r="D29" s="352"/>
      <c r="E29" s="343" t="s">
        <v>1000</v>
      </c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474" t="s">
        <v>1001</v>
      </c>
      <c r="S29" s="477"/>
      <c r="T29" s="477"/>
      <c r="U29" s="477"/>
      <c r="V29" s="477"/>
      <c r="W29" s="477"/>
      <c r="X29" s="477"/>
      <c r="Y29" s="477"/>
      <c r="Z29" s="477"/>
      <c r="AA29" s="476"/>
      <c r="AB29" s="476"/>
    </row>
    <row r="30" spans="1:28" ht="10.5" customHeight="1">
      <c r="A30" s="474"/>
      <c r="B30" s="352" t="s">
        <v>1002</v>
      </c>
      <c r="C30" s="352"/>
      <c r="D30" s="352"/>
      <c r="E30" s="343" t="s">
        <v>1003</v>
      </c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474" t="s">
        <v>1004</v>
      </c>
      <c r="S30" s="477"/>
      <c r="T30" s="477"/>
      <c r="U30" s="477"/>
      <c r="V30" s="477"/>
      <c r="W30" s="477"/>
      <c r="X30" s="477"/>
      <c r="Y30" s="477"/>
      <c r="Z30" s="477"/>
      <c r="AA30" s="476"/>
      <c r="AB30" s="476"/>
    </row>
    <row r="31" spans="1:28" ht="10.5" customHeight="1">
      <c r="A31" s="474"/>
      <c r="B31" s="352" t="s">
        <v>1005</v>
      </c>
      <c r="C31" s="352"/>
      <c r="D31" s="352"/>
      <c r="E31" s="343" t="s">
        <v>1652</v>
      </c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474" t="s">
        <v>1006</v>
      </c>
      <c r="S31" s="477"/>
      <c r="T31" s="477"/>
      <c r="U31" s="477"/>
      <c r="V31" s="477"/>
      <c r="W31" s="477">
        <v>1446</v>
      </c>
      <c r="X31" s="477"/>
      <c r="Y31" s="477"/>
      <c r="Z31" s="477"/>
      <c r="AA31" s="476"/>
      <c r="AB31" s="476">
        <v>1446</v>
      </c>
    </row>
    <row r="32" spans="1:28" ht="10.5" customHeight="1">
      <c r="A32" s="474"/>
      <c r="B32" s="352" t="s">
        <v>1007</v>
      </c>
      <c r="C32" s="352"/>
      <c r="D32" s="352"/>
      <c r="E32" s="343" t="s">
        <v>1008</v>
      </c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474" t="s">
        <v>1009</v>
      </c>
      <c r="S32" s="477"/>
      <c r="T32" s="477"/>
      <c r="U32" s="477"/>
      <c r="V32" s="477"/>
      <c r="W32" s="477">
        <v>252637</v>
      </c>
      <c r="X32" s="477"/>
      <c r="Y32" s="477"/>
      <c r="Z32" s="477"/>
      <c r="AA32" s="476"/>
      <c r="AB32" s="476">
        <v>406274</v>
      </c>
    </row>
    <row r="33" spans="1:28" ht="10.5" customHeight="1">
      <c r="A33" s="474"/>
      <c r="B33" s="352" t="s">
        <v>1010</v>
      </c>
      <c r="C33" s="352"/>
      <c r="D33" s="352"/>
      <c r="E33" s="343" t="s">
        <v>1011</v>
      </c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474" t="s">
        <v>2037</v>
      </c>
      <c r="S33" s="477"/>
      <c r="T33" s="477"/>
      <c r="U33" s="477"/>
      <c r="V33" s="477"/>
      <c r="W33" s="477"/>
      <c r="X33" s="477"/>
      <c r="Y33" s="477"/>
      <c r="Z33" s="477"/>
      <c r="AA33" s="476"/>
      <c r="AB33" s="476"/>
    </row>
    <row r="34" spans="1:28" ht="10.5" customHeight="1">
      <c r="A34" s="474"/>
      <c r="B34" s="352" t="s">
        <v>1012</v>
      </c>
      <c r="C34" s="352"/>
      <c r="D34" s="352"/>
      <c r="E34" s="343" t="s">
        <v>1013</v>
      </c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474" t="s">
        <v>2043</v>
      </c>
      <c r="S34" s="477"/>
      <c r="T34" s="477"/>
      <c r="U34" s="477"/>
      <c r="V34" s="477"/>
      <c r="W34" s="477"/>
      <c r="X34" s="477"/>
      <c r="Y34" s="477"/>
      <c r="Z34" s="477"/>
      <c r="AA34" s="476"/>
      <c r="AB34" s="476"/>
    </row>
    <row r="35" spans="1:28" ht="10.5" customHeight="1">
      <c r="A35" s="474"/>
      <c r="B35" s="352" t="s">
        <v>1014</v>
      </c>
      <c r="C35" s="352"/>
      <c r="D35" s="352"/>
      <c r="E35" s="343" t="s">
        <v>1015</v>
      </c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474" t="s">
        <v>1016</v>
      </c>
      <c r="S35" s="477"/>
      <c r="T35" s="477"/>
      <c r="U35" s="477"/>
      <c r="V35" s="477"/>
      <c r="W35" s="477"/>
      <c r="X35" s="477"/>
      <c r="Y35" s="477"/>
      <c r="Z35" s="477"/>
      <c r="AA35" s="476"/>
      <c r="AB35" s="476"/>
    </row>
    <row r="36" spans="1:28" ht="10.5" customHeight="1">
      <c r="A36" s="474"/>
      <c r="B36" s="352" t="s">
        <v>1017</v>
      </c>
      <c r="C36" s="352"/>
      <c r="D36" s="352"/>
      <c r="E36" s="343" t="s">
        <v>1018</v>
      </c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474" t="s">
        <v>1019</v>
      </c>
      <c r="S36" s="477"/>
      <c r="T36" s="477"/>
      <c r="U36" s="477"/>
      <c r="V36" s="477"/>
      <c r="W36" s="477"/>
      <c r="X36" s="477"/>
      <c r="Y36" s="477"/>
      <c r="Z36" s="477"/>
      <c r="AA36" s="476"/>
      <c r="AB36" s="476"/>
    </row>
    <row r="37" spans="1:28" ht="10.5" customHeight="1">
      <c r="A37" s="474"/>
      <c r="B37" s="352" t="s">
        <v>1020</v>
      </c>
      <c r="C37" s="352"/>
      <c r="D37" s="352"/>
      <c r="E37" s="343" t="s">
        <v>1021</v>
      </c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474" t="s">
        <v>1022</v>
      </c>
      <c r="S37" s="477"/>
      <c r="T37" s="477"/>
      <c r="U37" s="477"/>
      <c r="V37" s="477"/>
      <c r="W37" s="477"/>
      <c r="X37" s="477"/>
      <c r="Y37" s="477"/>
      <c r="Z37" s="477"/>
      <c r="AA37" s="476"/>
      <c r="AB37" s="476"/>
    </row>
    <row r="38" spans="1:28" ht="10.5" customHeight="1">
      <c r="A38" s="474"/>
      <c r="B38" s="352" t="s">
        <v>1023</v>
      </c>
      <c r="C38" s="352"/>
      <c r="D38" s="352"/>
      <c r="E38" s="343" t="s">
        <v>1024</v>
      </c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474" t="s">
        <v>1025</v>
      </c>
      <c r="S38" s="477"/>
      <c r="T38" s="477"/>
      <c r="U38" s="477"/>
      <c r="V38" s="477"/>
      <c r="W38" s="477"/>
      <c r="X38" s="477"/>
      <c r="Y38" s="477"/>
      <c r="Z38" s="477"/>
      <c r="AA38" s="476"/>
      <c r="AB38" s="476"/>
    </row>
    <row r="39" spans="1:28" ht="10.5" customHeight="1">
      <c r="A39" s="474"/>
      <c r="B39" s="352" t="s">
        <v>1026</v>
      </c>
      <c r="C39" s="352"/>
      <c r="D39" s="352"/>
      <c r="E39" s="343" t="s">
        <v>1027</v>
      </c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474" t="s">
        <v>1028</v>
      </c>
      <c r="S39" s="477"/>
      <c r="T39" s="477"/>
      <c r="U39" s="477"/>
      <c r="V39" s="477"/>
      <c r="W39" s="477"/>
      <c r="X39" s="477"/>
      <c r="Y39" s="477"/>
      <c r="Z39" s="477"/>
      <c r="AA39" s="476"/>
      <c r="AB39" s="476"/>
    </row>
    <row r="40" spans="1:28" ht="10.5" customHeight="1">
      <c r="A40" s="474"/>
      <c r="B40" s="352" t="s">
        <v>1029</v>
      </c>
      <c r="C40" s="352"/>
      <c r="D40" s="352"/>
      <c r="E40" s="343" t="s">
        <v>1030</v>
      </c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474" t="s">
        <v>1031</v>
      </c>
      <c r="S40" s="477"/>
      <c r="T40" s="477"/>
      <c r="U40" s="477"/>
      <c r="V40" s="477"/>
      <c r="W40" s="477"/>
      <c r="X40" s="477"/>
      <c r="Y40" s="477"/>
      <c r="Z40" s="477"/>
      <c r="AA40" s="476"/>
      <c r="AB40" s="476"/>
    </row>
    <row r="41" spans="1:28" ht="10.5" customHeight="1">
      <c r="A41" s="474"/>
      <c r="B41" s="352" t="s">
        <v>1032</v>
      </c>
      <c r="C41" s="352"/>
      <c r="D41" s="352"/>
      <c r="E41" s="343" t="s">
        <v>1033</v>
      </c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474" t="s">
        <v>1034</v>
      </c>
      <c r="S41" s="477"/>
      <c r="T41" s="477"/>
      <c r="U41" s="477"/>
      <c r="V41" s="477"/>
      <c r="W41" s="477"/>
      <c r="X41" s="477"/>
      <c r="Y41" s="477"/>
      <c r="Z41" s="477"/>
      <c r="AA41" s="476"/>
      <c r="AB41" s="476">
        <v>152000</v>
      </c>
    </row>
    <row r="42" spans="1:28" ht="10.5" customHeight="1">
      <c r="A42" s="474"/>
      <c r="B42" s="352" t="s">
        <v>1035</v>
      </c>
      <c r="C42" s="352"/>
      <c r="D42" s="352"/>
      <c r="E42" s="343" t="s">
        <v>1036</v>
      </c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474" t="s">
        <v>1037</v>
      </c>
      <c r="S42" s="477"/>
      <c r="T42" s="477"/>
      <c r="U42" s="477"/>
      <c r="V42" s="477"/>
      <c r="W42" s="477">
        <v>107833</v>
      </c>
      <c r="X42" s="477"/>
      <c r="Y42" s="477"/>
      <c r="Z42" s="477"/>
      <c r="AA42" s="476"/>
      <c r="AB42" s="476">
        <v>186212</v>
      </c>
    </row>
    <row r="43" spans="1:28" ht="10.5" customHeight="1">
      <c r="A43" s="474"/>
      <c r="B43" s="352" t="s">
        <v>1038</v>
      </c>
      <c r="C43" s="352"/>
      <c r="D43" s="352"/>
      <c r="E43" s="343" t="s">
        <v>1039</v>
      </c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474" t="s">
        <v>1040</v>
      </c>
      <c r="S43" s="477"/>
      <c r="T43" s="477"/>
      <c r="U43" s="477"/>
      <c r="V43" s="477"/>
      <c r="W43" s="477"/>
      <c r="X43" s="477"/>
      <c r="Y43" s="477"/>
      <c r="Z43" s="477"/>
      <c r="AA43" s="476"/>
      <c r="AB43" s="476"/>
    </row>
    <row r="44" spans="1:28" ht="10.5" customHeight="1">
      <c r="A44" s="474"/>
      <c r="B44" s="352" t="s">
        <v>1041</v>
      </c>
      <c r="C44" s="352"/>
      <c r="D44" s="352"/>
      <c r="E44" s="343" t="s">
        <v>1042</v>
      </c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474" t="s">
        <v>1043</v>
      </c>
      <c r="S44" s="477"/>
      <c r="T44" s="477"/>
      <c r="U44" s="477"/>
      <c r="V44" s="477"/>
      <c r="W44" s="478">
        <v>-14788.3</v>
      </c>
      <c r="X44" s="478"/>
      <c r="Y44" s="478"/>
      <c r="Z44" s="478"/>
      <c r="AA44" s="476"/>
      <c r="AB44" s="476">
        <v>136773.35</v>
      </c>
    </row>
    <row r="45" spans="1:28" ht="10.5" customHeight="1">
      <c r="A45" s="474"/>
      <c r="B45" s="352" t="s">
        <v>1044</v>
      </c>
      <c r="C45" s="352"/>
      <c r="D45" s="352"/>
      <c r="E45" s="343" t="s">
        <v>1045</v>
      </c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474" t="s">
        <v>1046</v>
      </c>
      <c r="S45" s="477"/>
      <c r="T45" s="477"/>
      <c r="U45" s="477"/>
      <c r="V45" s="477"/>
      <c r="W45" s="477">
        <v>10283.5</v>
      </c>
      <c r="X45" s="477"/>
      <c r="Y45" s="477"/>
      <c r="Z45" s="477"/>
      <c r="AA45" s="476"/>
      <c r="AB45" s="476"/>
    </row>
    <row r="46" spans="1:28" ht="10.5" customHeight="1">
      <c r="A46" s="474"/>
      <c r="B46" s="352" t="s">
        <v>1047</v>
      </c>
      <c r="C46" s="352"/>
      <c r="D46" s="352"/>
      <c r="E46" s="343" t="s">
        <v>1048</v>
      </c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474" t="s">
        <v>1049</v>
      </c>
      <c r="S46" s="477"/>
      <c r="T46" s="477"/>
      <c r="U46" s="477"/>
      <c r="V46" s="477"/>
      <c r="W46" s="477"/>
      <c r="X46" s="477"/>
      <c r="Y46" s="477"/>
      <c r="Z46" s="477"/>
      <c r="AA46" s="476"/>
      <c r="AB46" s="476"/>
    </row>
    <row r="47" spans="1:28" ht="10.5" customHeight="1" thickBot="1">
      <c r="A47" s="474"/>
      <c r="B47" s="352" t="s">
        <v>1050</v>
      </c>
      <c r="C47" s="352"/>
      <c r="D47" s="352"/>
      <c r="E47" s="343" t="s">
        <v>1051</v>
      </c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474" t="s">
        <v>1052</v>
      </c>
      <c r="S47" s="477"/>
      <c r="T47" s="477"/>
      <c r="U47" s="477"/>
      <c r="V47" s="477"/>
      <c r="W47" s="477">
        <v>285872.37</v>
      </c>
      <c r="X47" s="477"/>
      <c r="Y47" s="477"/>
      <c r="Z47" s="477"/>
      <c r="AA47" s="476"/>
      <c r="AB47" s="476">
        <v>40580.78</v>
      </c>
    </row>
    <row r="48" spans="1:28" ht="13.5" thickBot="1">
      <c r="A48" s="470"/>
      <c r="B48" s="369" t="s">
        <v>1053</v>
      </c>
      <c r="C48" s="369"/>
      <c r="D48" s="470"/>
      <c r="E48" s="356" t="s">
        <v>1054</v>
      </c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471"/>
      <c r="S48" s="472"/>
      <c r="T48" s="472"/>
      <c r="U48" s="472"/>
      <c r="V48" s="472"/>
      <c r="W48" s="472"/>
      <c r="X48" s="472"/>
      <c r="Y48" s="472"/>
      <c r="Z48" s="472"/>
      <c r="AA48" s="473"/>
      <c r="AB48" s="473">
        <v>31266.5</v>
      </c>
    </row>
    <row r="49" spans="1:28" ht="10.5" customHeight="1">
      <c r="A49" s="474"/>
      <c r="B49" s="355" t="s">
        <v>1492</v>
      </c>
      <c r="C49" s="355"/>
      <c r="D49" s="355"/>
      <c r="E49" s="354" t="s">
        <v>1055</v>
      </c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474" t="s">
        <v>1056</v>
      </c>
      <c r="S49" s="475"/>
      <c r="T49" s="475"/>
      <c r="U49" s="475"/>
      <c r="V49" s="475"/>
      <c r="W49" s="475"/>
      <c r="X49" s="475"/>
      <c r="Y49" s="475"/>
      <c r="Z49" s="475"/>
      <c r="AA49" s="476"/>
      <c r="AB49" s="476"/>
    </row>
    <row r="50" spans="1:28" ht="10.5" customHeight="1">
      <c r="A50" s="474"/>
      <c r="B50" s="352" t="s">
        <v>1496</v>
      </c>
      <c r="C50" s="352"/>
      <c r="D50" s="352"/>
      <c r="E50" s="343" t="s">
        <v>1057</v>
      </c>
      <c r="F50" s="343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474" t="s">
        <v>1058</v>
      </c>
      <c r="S50" s="477"/>
      <c r="T50" s="477"/>
      <c r="U50" s="477"/>
      <c r="V50" s="477"/>
      <c r="W50" s="477"/>
      <c r="X50" s="477"/>
      <c r="Y50" s="477"/>
      <c r="Z50" s="477"/>
      <c r="AA50" s="476"/>
      <c r="AB50" s="476"/>
    </row>
    <row r="51" spans="1:28" ht="10.5" customHeight="1">
      <c r="A51" s="474"/>
      <c r="B51" s="352" t="s">
        <v>1500</v>
      </c>
      <c r="C51" s="352"/>
      <c r="D51" s="352"/>
      <c r="E51" s="343" t="s">
        <v>1059</v>
      </c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474" t="s">
        <v>1060</v>
      </c>
      <c r="S51" s="477"/>
      <c r="T51" s="477"/>
      <c r="U51" s="477"/>
      <c r="V51" s="477"/>
      <c r="W51" s="477"/>
      <c r="X51" s="477"/>
      <c r="Y51" s="477"/>
      <c r="Z51" s="477"/>
      <c r="AA51" s="476"/>
      <c r="AB51" s="476"/>
    </row>
    <row r="52" spans="1:28" ht="10.5" customHeight="1">
      <c r="A52" s="474"/>
      <c r="B52" s="352" t="s">
        <v>1506</v>
      </c>
      <c r="C52" s="352"/>
      <c r="D52" s="352"/>
      <c r="E52" s="343" t="s">
        <v>1061</v>
      </c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474" t="s">
        <v>1062</v>
      </c>
      <c r="S52" s="477"/>
      <c r="T52" s="477"/>
      <c r="U52" s="477"/>
      <c r="V52" s="477"/>
      <c r="W52" s="477"/>
      <c r="X52" s="477"/>
      <c r="Y52" s="477"/>
      <c r="Z52" s="477"/>
      <c r="AA52" s="476"/>
      <c r="AB52" s="476"/>
    </row>
    <row r="53" spans="1:28" ht="10.5" customHeight="1" thickBot="1">
      <c r="A53" s="474"/>
      <c r="B53" s="352" t="s">
        <v>1512</v>
      </c>
      <c r="C53" s="352"/>
      <c r="D53" s="352"/>
      <c r="E53" s="343" t="s">
        <v>1063</v>
      </c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474" t="s">
        <v>1064</v>
      </c>
      <c r="S53" s="477"/>
      <c r="T53" s="477"/>
      <c r="U53" s="477"/>
      <c r="V53" s="477"/>
      <c r="W53" s="477"/>
      <c r="X53" s="477"/>
      <c r="Y53" s="477"/>
      <c r="Z53" s="477"/>
      <c r="AA53" s="476"/>
      <c r="AB53" s="476">
        <v>31266.5</v>
      </c>
    </row>
    <row r="54" spans="1:28" ht="9.75" customHeight="1" thickBot="1">
      <c r="A54" s="350" t="s">
        <v>956</v>
      </c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1" t="s">
        <v>957</v>
      </c>
      <c r="R54" s="451"/>
      <c r="S54" s="452" t="s">
        <v>958</v>
      </c>
      <c r="T54" s="453"/>
      <c r="U54" s="453"/>
      <c r="V54" s="453"/>
      <c r="W54" s="453"/>
      <c r="X54" s="453"/>
      <c r="Y54" s="453"/>
      <c r="Z54" s="454"/>
      <c r="AA54" s="452" t="s">
        <v>959</v>
      </c>
      <c r="AB54" s="453"/>
    </row>
    <row r="55" spans="1:28" ht="9.75" customHeight="1">
      <c r="A55" s="455" t="s">
        <v>960</v>
      </c>
      <c r="B55" s="455"/>
      <c r="C55" s="455"/>
      <c r="D55" s="455"/>
      <c r="E55" s="455" t="s">
        <v>2124</v>
      </c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6" t="s">
        <v>961</v>
      </c>
      <c r="R55" s="457"/>
      <c r="S55" s="458" t="s">
        <v>1339</v>
      </c>
      <c r="T55" s="351"/>
      <c r="U55" s="351"/>
      <c r="V55" s="351"/>
      <c r="W55" s="351" t="s">
        <v>962</v>
      </c>
      <c r="X55" s="351"/>
      <c r="Y55" s="351"/>
      <c r="Z55" s="451"/>
      <c r="AA55" s="459" t="s">
        <v>1339</v>
      </c>
      <c r="AB55" s="459" t="s">
        <v>962</v>
      </c>
    </row>
    <row r="56" spans="1:28" ht="9.75" customHeight="1" thickBot="1">
      <c r="A56" s="460"/>
      <c r="B56" s="460"/>
      <c r="C56" s="460"/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1"/>
      <c r="R56" s="462"/>
      <c r="S56" s="463" t="s">
        <v>1659</v>
      </c>
      <c r="T56" s="464"/>
      <c r="U56" s="464"/>
      <c r="V56" s="464"/>
      <c r="W56" s="461" t="s">
        <v>1729</v>
      </c>
      <c r="X56" s="461"/>
      <c r="Y56" s="461"/>
      <c r="Z56" s="462"/>
      <c r="AA56" s="465" t="s">
        <v>2336</v>
      </c>
      <c r="AB56" s="466" t="s">
        <v>1785</v>
      </c>
    </row>
    <row r="57" spans="1:28" ht="13.5" thickBot="1">
      <c r="A57" s="470"/>
      <c r="B57" s="369" t="s">
        <v>1065</v>
      </c>
      <c r="C57" s="369"/>
      <c r="D57" s="470"/>
      <c r="E57" s="356" t="s">
        <v>1066</v>
      </c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471"/>
      <c r="S57" s="472"/>
      <c r="T57" s="472"/>
      <c r="U57" s="472"/>
      <c r="V57" s="472"/>
      <c r="W57" s="472"/>
      <c r="X57" s="472"/>
      <c r="Y57" s="472"/>
      <c r="Z57" s="472"/>
      <c r="AA57" s="473"/>
      <c r="AB57" s="473"/>
    </row>
    <row r="58" spans="1:28" ht="12.75">
      <c r="A58" s="474"/>
      <c r="B58" s="355" t="s">
        <v>1492</v>
      </c>
      <c r="C58" s="355"/>
      <c r="D58" s="355"/>
      <c r="E58" s="354" t="s">
        <v>1067</v>
      </c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R58" s="474" t="s">
        <v>1068</v>
      </c>
      <c r="S58" s="475"/>
      <c r="T58" s="475"/>
      <c r="U58" s="475"/>
      <c r="V58" s="475"/>
      <c r="W58" s="475"/>
      <c r="X58" s="475"/>
      <c r="Y58" s="475"/>
      <c r="Z58" s="475"/>
      <c r="AA58" s="476"/>
      <c r="AB58" s="476"/>
    </row>
    <row r="59" spans="1:28" ht="13.5" thickBot="1">
      <c r="A59" s="474"/>
      <c r="B59" s="352" t="s">
        <v>1496</v>
      </c>
      <c r="C59" s="352"/>
      <c r="D59" s="352"/>
      <c r="E59" s="343" t="s">
        <v>1069</v>
      </c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474" t="s">
        <v>1070</v>
      </c>
      <c r="S59" s="477"/>
      <c r="T59" s="477"/>
      <c r="U59" s="477"/>
      <c r="V59" s="477"/>
      <c r="W59" s="477"/>
      <c r="X59" s="477"/>
      <c r="Y59" s="477"/>
      <c r="Z59" s="477"/>
      <c r="AA59" s="476"/>
      <c r="AB59" s="476"/>
    </row>
    <row r="60" spans="1:28" ht="13.5" thickBot="1">
      <c r="A60" s="470"/>
      <c r="B60" s="369" t="s">
        <v>1071</v>
      </c>
      <c r="C60" s="369"/>
      <c r="D60" s="470"/>
      <c r="E60" s="356" t="s">
        <v>1072</v>
      </c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471"/>
      <c r="S60" s="472"/>
      <c r="T60" s="472"/>
      <c r="U60" s="472"/>
      <c r="V60" s="472"/>
      <c r="W60" s="472"/>
      <c r="X60" s="472"/>
      <c r="Y60" s="472"/>
      <c r="Z60" s="472"/>
      <c r="AA60" s="473"/>
      <c r="AB60" s="473"/>
    </row>
    <row r="61" spans="1:28" ht="12.75">
      <c r="A61" s="474"/>
      <c r="B61" s="355" t="s">
        <v>1492</v>
      </c>
      <c r="C61" s="355"/>
      <c r="D61" s="355"/>
      <c r="E61" s="354" t="s">
        <v>1072</v>
      </c>
      <c r="F61" s="354"/>
      <c r="G61" s="354"/>
      <c r="H61" s="354"/>
      <c r="I61" s="354"/>
      <c r="J61" s="354"/>
      <c r="K61" s="354"/>
      <c r="L61" s="354"/>
      <c r="M61" s="354"/>
      <c r="N61" s="354"/>
      <c r="O61" s="354"/>
      <c r="P61" s="354"/>
      <c r="Q61" s="354"/>
      <c r="R61" s="474" t="s">
        <v>1073</v>
      </c>
      <c r="S61" s="475"/>
      <c r="T61" s="475"/>
      <c r="U61" s="475"/>
      <c r="V61" s="475"/>
      <c r="W61" s="475"/>
      <c r="X61" s="475"/>
      <c r="Y61" s="475"/>
      <c r="Z61" s="475"/>
      <c r="AA61" s="476"/>
      <c r="AB61" s="476"/>
    </row>
    <row r="62" spans="1:28" ht="13.5" thickBot="1">
      <c r="A62" s="474"/>
      <c r="B62" s="353" t="s">
        <v>1496</v>
      </c>
      <c r="C62" s="353"/>
      <c r="D62" s="353"/>
      <c r="E62" s="345" t="s">
        <v>1074</v>
      </c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474" t="s">
        <v>1075</v>
      </c>
      <c r="S62" s="479"/>
      <c r="T62" s="479"/>
      <c r="U62" s="479"/>
      <c r="V62" s="479"/>
      <c r="W62" s="479"/>
      <c r="X62" s="479"/>
      <c r="Y62" s="479"/>
      <c r="Z62" s="479"/>
      <c r="AA62" s="476"/>
      <c r="AB62" s="476"/>
    </row>
    <row r="63" spans="1:28" ht="13.5" thickBot="1">
      <c r="A63" s="363" t="s">
        <v>1076</v>
      </c>
      <c r="B63" s="363"/>
      <c r="C63" s="363"/>
      <c r="D63" s="363"/>
      <c r="E63" s="363" t="s">
        <v>1077</v>
      </c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467"/>
      <c r="S63" s="468"/>
      <c r="T63" s="468"/>
      <c r="U63" s="468"/>
      <c r="V63" s="468"/>
      <c r="W63" s="468">
        <v>23200557.07</v>
      </c>
      <c r="X63" s="468"/>
      <c r="Y63" s="468"/>
      <c r="Z63" s="468"/>
      <c r="AA63" s="469"/>
      <c r="AB63" s="469">
        <v>23891190.46</v>
      </c>
    </row>
    <row r="64" spans="1:28" ht="13.5" thickBot="1">
      <c r="A64" s="470"/>
      <c r="B64" s="369" t="s">
        <v>965</v>
      </c>
      <c r="C64" s="369"/>
      <c r="D64" s="470"/>
      <c r="E64" s="356" t="s">
        <v>1078</v>
      </c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471"/>
      <c r="S64" s="472"/>
      <c r="T64" s="472"/>
      <c r="U64" s="472"/>
      <c r="V64" s="472"/>
      <c r="W64" s="472">
        <v>23077656.67</v>
      </c>
      <c r="X64" s="472"/>
      <c r="Y64" s="472"/>
      <c r="Z64" s="472"/>
      <c r="AA64" s="473"/>
      <c r="AB64" s="473">
        <v>23775848.95</v>
      </c>
    </row>
    <row r="65" spans="1:28" ht="12.75">
      <c r="A65" s="474"/>
      <c r="B65" s="355" t="s">
        <v>1492</v>
      </c>
      <c r="C65" s="355"/>
      <c r="D65" s="355"/>
      <c r="E65" s="354" t="s">
        <v>1079</v>
      </c>
      <c r="F65" s="354"/>
      <c r="G65" s="354"/>
      <c r="H65" s="354"/>
      <c r="I65" s="354"/>
      <c r="J65" s="354"/>
      <c r="K65" s="354"/>
      <c r="L65" s="354"/>
      <c r="M65" s="354"/>
      <c r="N65" s="354"/>
      <c r="O65" s="354"/>
      <c r="P65" s="354"/>
      <c r="Q65" s="354"/>
      <c r="R65" s="474" t="s">
        <v>1080</v>
      </c>
      <c r="S65" s="475"/>
      <c r="T65" s="475"/>
      <c r="U65" s="475"/>
      <c r="V65" s="475"/>
      <c r="W65" s="475"/>
      <c r="X65" s="475"/>
      <c r="Y65" s="475"/>
      <c r="Z65" s="475"/>
      <c r="AA65" s="476"/>
      <c r="AB65" s="476"/>
    </row>
    <row r="66" spans="1:28" ht="12.75">
      <c r="A66" s="474"/>
      <c r="B66" s="352" t="s">
        <v>1496</v>
      </c>
      <c r="C66" s="352"/>
      <c r="D66" s="352"/>
      <c r="E66" s="343" t="s">
        <v>1081</v>
      </c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474" t="s">
        <v>1082</v>
      </c>
      <c r="S66" s="477"/>
      <c r="T66" s="477"/>
      <c r="U66" s="477"/>
      <c r="V66" s="477"/>
      <c r="W66" s="477">
        <v>2395881.17</v>
      </c>
      <c r="X66" s="477"/>
      <c r="Y66" s="477"/>
      <c r="Z66" s="477"/>
      <c r="AA66" s="476"/>
      <c r="AB66" s="476">
        <v>2268006.48</v>
      </c>
    </row>
    <row r="67" spans="1:28" ht="12.75">
      <c r="A67" s="474"/>
      <c r="B67" s="352" t="s">
        <v>1500</v>
      </c>
      <c r="C67" s="352"/>
      <c r="D67" s="352"/>
      <c r="E67" s="343" t="s">
        <v>1083</v>
      </c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474" t="s">
        <v>1084</v>
      </c>
      <c r="S67" s="477"/>
      <c r="T67" s="477"/>
      <c r="U67" s="477"/>
      <c r="V67" s="477"/>
      <c r="W67" s="477">
        <v>21427915.03</v>
      </c>
      <c r="X67" s="477"/>
      <c r="Y67" s="477"/>
      <c r="Z67" s="477"/>
      <c r="AA67" s="476"/>
      <c r="AB67" s="476">
        <v>20691016.59</v>
      </c>
    </row>
    <row r="68" spans="1:28" ht="12.75">
      <c r="A68" s="474"/>
      <c r="B68" s="352" t="s">
        <v>1506</v>
      </c>
      <c r="C68" s="352"/>
      <c r="D68" s="352"/>
      <c r="E68" s="343" t="s">
        <v>1085</v>
      </c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474" t="s">
        <v>1086</v>
      </c>
      <c r="S68" s="477"/>
      <c r="T68" s="477"/>
      <c r="U68" s="477"/>
      <c r="V68" s="477"/>
      <c r="W68" s="477">
        <v>34201.96</v>
      </c>
      <c r="X68" s="477"/>
      <c r="Y68" s="477"/>
      <c r="Z68" s="477"/>
      <c r="AA68" s="476"/>
      <c r="AB68" s="476">
        <v>207399.1</v>
      </c>
    </row>
    <row r="69" spans="1:28" ht="12.75">
      <c r="A69" s="474"/>
      <c r="B69" s="352" t="s">
        <v>1527</v>
      </c>
      <c r="C69" s="352"/>
      <c r="D69" s="352"/>
      <c r="E69" s="343" t="s">
        <v>1087</v>
      </c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474" t="s">
        <v>1088</v>
      </c>
      <c r="S69" s="477"/>
      <c r="T69" s="477"/>
      <c r="U69" s="477"/>
      <c r="V69" s="477"/>
      <c r="W69" s="477"/>
      <c r="X69" s="477"/>
      <c r="Y69" s="477"/>
      <c r="Z69" s="477"/>
      <c r="AA69" s="476"/>
      <c r="AB69" s="476"/>
    </row>
    <row r="70" spans="1:28" ht="12.75">
      <c r="A70" s="474"/>
      <c r="B70" s="352" t="s">
        <v>1529</v>
      </c>
      <c r="C70" s="352"/>
      <c r="D70" s="352"/>
      <c r="E70" s="343" t="s">
        <v>1011</v>
      </c>
      <c r="F70" s="343"/>
      <c r="G70" s="343"/>
      <c r="H70" s="343"/>
      <c r="I70" s="343"/>
      <c r="J70" s="343"/>
      <c r="K70" s="343"/>
      <c r="L70" s="343"/>
      <c r="M70" s="343"/>
      <c r="N70" s="343"/>
      <c r="O70" s="343"/>
      <c r="P70" s="343"/>
      <c r="Q70" s="343"/>
      <c r="R70" s="474" t="s">
        <v>1089</v>
      </c>
      <c r="S70" s="477"/>
      <c r="T70" s="477"/>
      <c r="U70" s="477"/>
      <c r="V70" s="477"/>
      <c r="W70" s="477">
        <v>32911</v>
      </c>
      <c r="X70" s="477"/>
      <c r="Y70" s="477"/>
      <c r="Z70" s="477"/>
      <c r="AA70" s="476"/>
      <c r="AB70" s="476">
        <v>26040</v>
      </c>
    </row>
    <row r="71" spans="1:28" ht="12.75">
      <c r="A71" s="474"/>
      <c r="B71" s="352" t="s">
        <v>1531</v>
      </c>
      <c r="C71" s="352"/>
      <c r="D71" s="352"/>
      <c r="E71" s="343" t="s">
        <v>1013</v>
      </c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474" t="s">
        <v>1090</v>
      </c>
      <c r="S71" s="477"/>
      <c r="T71" s="477"/>
      <c r="U71" s="477"/>
      <c r="V71" s="477"/>
      <c r="W71" s="477">
        <v>2000</v>
      </c>
      <c r="X71" s="477"/>
      <c r="Y71" s="477"/>
      <c r="Z71" s="477"/>
      <c r="AA71" s="476"/>
      <c r="AB71" s="476">
        <v>3000</v>
      </c>
    </row>
    <row r="72" spans="1:28" ht="12.75">
      <c r="A72" s="474"/>
      <c r="B72" s="352" t="s">
        <v>982</v>
      </c>
      <c r="C72" s="352"/>
      <c r="D72" s="352"/>
      <c r="E72" s="343" t="s">
        <v>1091</v>
      </c>
      <c r="F72" s="343"/>
      <c r="G72" s="343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474" t="s">
        <v>1092</v>
      </c>
      <c r="S72" s="477"/>
      <c r="T72" s="477"/>
      <c r="U72" s="477"/>
      <c r="V72" s="477"/>
      <c r="W72" s="477"/>
      <c r="X72" s="477"/>
      <c r="Y72" s="477"/>
      <c r="Z72" s="477"/>
      <c r="AA72" s="476"/>
      <c r="AB72" s="476"/>
    </row>
    <row r="73" spans="1:28" ht="12.75">
      <c r="A73" s="474"/>
      <c r="B73" s="352" t="s">
        <v>984</v>
      </c>
      <c r="C73" s="352"/>
      <c r="D73" s="352"/>
      <c r="E73" s="343" t="s">
        <v>1093</v>
      </c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474" t="s">
        <v>1094</v>
      </c>
      <c r="S73" s="477"/>
      <c r="T73" s="477"/>
      <c r="U73" s="477"/>
      <c r="V73" s="477"/>
      <c r="W73" s="477"/>
      <c r="X73" s="477"/>
      <c r="Y73" s="477"/>
      <c r="Z73" s="477"/>
      <c r="AA73" s="476"/>
      <c r="AB73" s="476"/>
    </row>
    <row r="74" spans="1:28" ht="12.75">
      <c r="A74" s="474"/>
      <c r="B74" s="352" t="s">
        <v>987</v>
      </c>
      <c r="C74" s="352"/>
      <c r="D74" s="352"/>
      <c r="E74" s="343" t="s">
        <v>1095</v>
      </c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474" t="s">
        <v>1096</v>
      </c>
      <c r="S74" s="477"/>
      <c r="T74" s="477"/>
      <c r="U74" s="477"/>
      <c r="V74" s="477"/>
      <c r="W74" s="477"/>
      <c r="X74" s="477"/>
      <c r="Y74" s="477"/>
      <c r="Z74" s="477"/>
      <c r="AA74" s="476"/>
      <c r="AB74" s="476"/>
    </row>
    <row r="75" spans="1:28" ht="12.75">
      <c r="A75" s="474"/>
      <c r="B75" s="352" t="s">
        <v>990</v>
      </c>
      <c r="C75" s="352"/>
      <c r="D75" s="352"/>
      <c r="E75" s="343" t="s">
        <v>1097</v>
      </c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474" t="s">
        <v>1098</v>
      </c>
      <c r="S75" s="477"/>
      <c r="T75" s="477"/>
      <c r="U75" s="477"/>
      <c r="V75" s="477"/>
      <c r="W75" s="477">
        <v>341.64</v>
      </c>
      <c r="X75" s="477"/>
      <c r="Y75" s="477"/>
      <c r="Z75" s="477"/>
      <c r="AA75" s="476"/>
      <c r="AB75" s="476">
        <v>47498.5</v>
      </c>
    </row>
    <row r="76" spans="1:28" ht="12.75">
      <c r="A76" s="474"/>
      <c r="B76" s="352" t="s">
        <v>993</v>
      </c>
      <c r="C76" s="352"/>
      <c r="D76" s="352"/>
      <c r="E76" s="343" t="s">
        <v>1099</v>
      </c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474" t="s">
        <v>1100</v>
      </c>
      <c r="S76" s="477"/>
      <c r="T76" s="477"/>
      <c r="U76" s="477"/>
      <c r="V76" s="477"/>
      <c r="W76" s="477">
        <v>696831</v>
      </c>
      <c r="X76" s="477"/>
      <c r="Y76" s="477"/>
      <c r="Z76" s="477"/>
      <c r="AA76" s="476"/>
      <c r="AB76" s="476">
        <v>2986200</v>
      </c>
    </row>
    <row r="77" spans="1:28" ht="12.75">
      <c r="A77" s="474"/>
      <c r="B77" s="352" t="s">
        <v>996</v>
      </c>
      <c r="C77" s="352"/>
      <c r="D77" s="352"/>
      <c r="E77" s="343" t="s">
        <v>1101</v>
      </c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474" t="s">
        <v>1102</v>
      </c>
      <c r="S77" s="477"/>
      <c r="T77" s="477"/>
      <c r="U77" s="477"/>
      <c r="V77" s="477"/>
      <c r="W77" s="477"/>
      <c r="X77" s="477"/>
      <c r="Y77" s="477"/>
      <c r="Z77" s="477"/>
      <c r="AA77" s="476"/>
      <c r="AB77" s="476"/>
    </row>
    <row r="78" spans="1:28" ht="13.5" thickBot="1">
      <c r="A78" s="474"/>
      <c r="B78" s="352" t="s">
        <v>999</v>
      </c>
      <c r="C78" s="352"/>
      <c r="D78" s="352"/>
      <c r="E78" s="343" t="s">
        <v>1103</v>
      </c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474" t="s">
        <v>1104</v>
      </c>
      <c r="S78" s="477"/>
      <c r="T78" s="477"/>
      <c r="U78" s="477"/>
      <c r="V78" s="477"/>
      <c r="W78" s="478">
        <v>-1512425.13</v>
      </c>
      <c r="X78" s="478"/>
      <c r="Y78" s="478"/>
      <c r="Z78" s="478"/>
      <c r="AA78" s="476"/>
      <c r="AB78" s="480">
        <v>-2453311.72</v>
      </c>
    </row>
    <row r="79" spans="1:28" ht="13.5" thickBot="1">
      <c r="A79" s="470"/>
      <c r="B79" s="369" t="s">
        <v>1053</v>
      </c>
      <c r="C79" s="369"/>
      <c r="D79" s="470"/>
      <c r="E79" s="356" t="s">
        <v>1105</v>
      </c>
      <c r="F79" s="356"/>
      <c r="G79" s="356"/>
      <c r="H79" s="356"/>
      <c r="I79" s="356"/>
      <c r="J79" s="356"/>
      <c r="K79" s="356"/>
      <c r="L79" s="356"/>
      <c r="M79" s="356"/>
      <c r="N79" s="356"/>
      <c r="O79" s="356"/>
      <c r="P79" s="356"/>
      <c r="Q79" s="356"/>
      <c r="R79" s="471"/>
      <c r="S79" s="472"/>
      <c r="T79" s="472"/>
      <c r="U79" s="472"/>
      <c r="V79" s="472"/>
      <c r="W79" s="472">
        <v>122900.4</v>
      </c>
      <c r="X79" s="472"/>
      <c r="Y79" s="472"/>
      <c r="Z79" s="472"/>
      <c r="AA79" s="473"/>
      <c r="AB79" s="473">
        <v>115341.51</v>
      </c>
    </row>
    <row r="80" spans="1:28" ht="12.75">
      <c r="A80" s="474"/>
      <c r="B80" s="355" t="s">
        <v>1492</v>
      </c>
      <c r="C80" s="355"/>
      <c r="D80" s="355"/>
      <c r="E80" s="354" t="s">
        <v>1106</v>
      </c>
      <c r="F80" s="354"/>
      <c r="G80" s="354"/>
      <c r="H80" s="354"/>
      <c r="I80" s="354"/>
      <c r="J80" s="354"/>
      <c r="K80" s="354"/>
      <c r="L80" s="354"/>
      <c r="M80" s="354"/>
      <c r="N80" s="354"/>
      <c r="O80" s="354"/>
      <c r="P80" s="354"/>
      <c r="Q80" s="354"/>
      <c r="R80" s="474" t="s">
        <v>1107</v>
      </c>
      <c r="S80" s="475"/>
      <c r="T80" s="475"/>
      <c r="U80" s="475"/>
      <c r="V80" s="475"/>
      <c r="W80" s="475"/>
      <c r="X80" s="475"/>
      <c r="Y80" s="475"/>
      <c r="Z80" s="475"/>
      <c r="AA80" s="476"/>
      <c r="AB80" s="476"/>
    </row>
    <row r="81" spans="1:28" ht="12.75">
      <c r="A81" s="474"/>
      <c r="B81" s="352" t="s">
        <v>1496</v>
      </c>
      <c r="C81" s="352"/>
      <c r="D81" s="352"/>
      <c r="E81" s="343" t="s">
        <v>1057</v>
      </c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474" t="s">
        <v>1108</v>
      </c>
      <c r="S81" s="477"/>
      <c r="T81" s="477"/>
      <c r="U81" s="477"/>
      <c r="V81" s="477"/>
      <c r="W81" s="477">
        <v>122900.4</v>
      </c>
      <c r="X81" s="477"/>
      <c r="Y81" s="477"/>
      <c r="Z81" s="477"/>
      <c r="AA81" s="476"/>
      <c r="AB81" s="476">
        <v>115341.51</v>
      </c>
    </row>
    <row r="82" spans="1:28" ht="12.75">
      <c r="A82" s="474"/>
      <c r="B82" s="352" t="s">
        <v>1500</v>
      </c>
      <c r="C82" s="352"/>
      <c r="D82" s="352"/>
      <c r="E82" s="343" t="s">
        <v>1109</v>
      </c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474" t="s">
        <v>1110</v>
      </c>
      <c r="S82" s="477"/>
      <c r="T82" s="477"/>
      <c r="U82" s="477"/>
      <c r="V82" s="477"/>
      <c r="W82" s="477"/>
      <c r="X82" s="477"/>
      <c r="Y82" s="477"/>
      <c r="Z82" s="477"/>
      <c r="AA82" s="476"/>
      <c r="AB82" s="476"/>
    </row>
    <row r="83" spans="1:28" ht="12.75">
      <c r="A83" s="474"/>
      <c r="B83" s="352" t="s">
        <v>1506</v>
      </c>
      <c r="C83" s="352"/>
      <c r="D83" s="352"/>
      <c r="E83" s="343" t="s">
        <v>1111</v>
      </c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474" t="s">
        <v>1112</v>
      </c>
      <c r="S83" s="477"/>
      <c r="T83" s="477"/>
      <c r="U83" s="477"/>
      <c r="V83" s="477"/>
      <c r="W83" s="477"/>
      <c r="X83" s="477"/>
      <c r="Y83" s="477"/>
      <c r="Z83" s="477"/>
      <c r="AA83" s="476"/>
      <c r="AB83" s="476"/>
    </row>
    <row r="84" spans="1:28" ht="13.5" thickBot="1">
      <c r="A84" s="474"/>
      <c r="B84" s="352" t="s">
        <v>1515</v>
      </c>
      <c r="C84" s="352"/>
      <c r="D84" s="352"/>
      <c r="E84" s="343" t="s">
        <v>1113</v>
      </c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474" t="s">
        <v>1114</v>
      </c>
      <c r="S84" s="477"/>
      <c r="T84" s="477"/>
      <c r="U84" s="477"/>
      <c r="V84" s="477"/>
      <c r="W84" s="477"/>
      <c r="X84" s="477"/>
      <c r="Y84" s="477"/>
      <c r="Z84" s="477"/>
      <c r="AA84" s="476"/>
      <c r="AB84" s="476"/>
    </row>
    <row r="85" spans="1:28" ht="13.5" thickBot="1">
      <c r="A85" s="470"/>
      <c r="B85" s="369" t="s">
        <v>1115</v>
      </c>
      <c r="C85" s="369"/>
      <c r="D85" s="470"/>
      <c r="E85" s="356" t="s">
        <v>1116</v>
      </c>
      <c r="F85" s="356"/>
      <c r="G85" s="356"/>
      <c r="H85" s="356"/>
      <c r="I85" s="356"/>
      <c r="J85" s="356"/>
      <c r="K85" s="356"/>
      <c r="L85" s="356"/>
      <c r="M85" s="356"/>
      <c r="N85" s="356"/>
      <c r="O85" s="356"/>
      <c r="P85" s="356"/>
      <c r="Q85" s="356"/>
      <c r="R85" s="471"/>
      <c r="S85" s="472"/>
      <c r="T85" s="472"/>
      <c r="U85" s="472"/>
      <c r="V85" s="472"/>
      <c r="W85" s="472"/>
      <c r="X85" s="472"/>
      <c r="Y85" s="472"/>
      <c r="Z85" s="472"/>
      <c r="AA85" s="473"/>
      <c r="AB85" s="473"/>
    </row>
    <row r="86" spans="1:28" ht="12.75">
      <c r="A86" s="474"/>
      <c r="B86" s="355" t="s">
        <v>1492</v>
      </c>
      <c r="C86" s="355"/>
      <c r="D86" s="355"/>
      <c r="E86" s="354" t="s">
        <v>1117</v>
      </c>
      <c r="F86" s="354"/>
      <c r="G86" s="354"/>
      <c r="H86" s="354"/>
      <c r="I86" s="354"/>
      <c r="J86" s="354"/>
      <c r="K86" s="354"/>
      <c r="L86" s="354"/>
      <c r="M86" s="354"/>
      <c r="N86" s="354"/>
      <c r="O86" s="354"/>
      <c r="P86" s="354"/>
      <c r="Q86" s="354"/>
      <c r="R86" s="474" t="s">
        <v>1118</v>
      </c>
      <c r="S86" s="475"/>
      <c r="T86" s="475"/>
      <c r="U86" s="475"/>
      <c r="V86" s="475"/>
      <c r="W86" s="475"/>
      <c r="X86" s="475"/>
      <c r="Y86" s="475"/>
      <c r="Z86" s="475"/>
      <c r="AA86" s="476"/>
      <c r="AB86" s="476"/>
    </row>
    <row r="87" spans="1:28" ht="13.5" thickBot="1">
      <c r="A87" s="474"/>
      <c r="B87" s="352" t="s">
        <v>1496</v>
      </c>
      <c r="C87" s="352"/>
      <c r="D87" s="352"/>
      <c r="E87" s="343" t="s">
        <v>1119</v>
      </c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474" t="s">
        <v>1120</v>
      </c>
      <c r="S87" s="477"/>
      <c r="T87" s="477"/>
      <c r="U87" s="477"/>
      <c r="V87" s="477"/>
      <c r="W87" s="477"/>
      <c r="X87" s="477"/>
      <c r="Y87" s="477"/>
      <c r="Z87" s="477"/>
      <c r="AA87" s="476"/>
      <c r="AB87" s="476"/>
    </row>
    <row r="88" spans="1:28" ht="13.5" thickBot="1">
      <c r="A88" s="470"/>
      <c r="B88" s="369" t="s">
        <v>1121</v>
      </c>
      <c r="C88" s="369"/>
      <c r="D88" s="470"/>
      <c r="E88" s="356" t="s">
        <v>1122</v>
      </c>
      <c r="F88" s="356"/>
      <c r="G88" s="356"/>
      <c r="H88" s="356"/>
      <c r="I88" s="356"/>
      <c r="J88" s="356"/>
      <c r="K88" s="356"/>
      <c r="L88" s="356"/>
      <c r="M88" s="356"/>
      <c r="N88" s="356"/>
      <c r="O88" s="356"/>
      <c r="P88" s="356"/>
      <c r="Q88" s="356"/>
      <c r="R88" s="471"/>
      <c r="S88" s="472"/>
      <c r="T88" s="472"/>
      <c r="U88" s="472"/>
      <c r="V88" s="472"/>
      <c r="W88" s="472"/>
      <c r="X88" s="472"/>
      <c r="Y88" s="472"/>
      <c r="Z88" s="472"/>
      <c r="AA88" s="473"/>
      <c r="AB88" s="473"/>
    </row>
    <row r="89" spans="1:28" ht="12.75">
      <c r="A89" s="474"/>
      <c r="B89" s="355" t="s">
        <v>1492</v>
      </c>
      <c r="C89" s="355"/>
      <c r="D89" s="355"/>
      <c r="E89" s="354" t="s">
        <v>1123</v>
      </c>
      <c r="F89" s="354"/>
      <c r="G89" s="354"/>
      <c r="H89" s="354"/>
      <c r="I89" s="354"/>
      <c r="J89" s="354"/>
      <c r="K89" s="354"/>
      <c r="L89" s="354"/>
      <c r="M89" s="354"/>
      <c r="N89" s="354"/>
      <c r="O89" s="354"/>
      <c r="P89" s="354"/>
      <c r="Q89" s="354"/>
      <c r="R89" s="474"/>
      <c r="S89" s="475"/>
      <c r="T89" s="475"/>
      <c r="U89" s="475"/>
      <c r="V89" s="475"/>
      <c r="W89" s="475">
        <v>11867416.02</v>
      </c>
      <c r="X89" s="475"/>
      <c r="Y89" s="475"/>
      <c r="Z89" s="475"/>
      <c r="AA89" s="476"/>
      <c r="AB89" s="476">
        <v>15075180.63</v>
      </c>
    </row>
    <row r="90" spans="1:28" ht="12.75">
      <c r="A90" s="474"/>
      <c r="B90" s="352" t="s">
        <v>1496</v>
      </c>
      <c r="C90" s="352"/>
      <c r="D90" s="352"/>
      <c r="E90" s="343" t="s">
        <v>1124</v>
      </c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474"/>
      <c r="S90" s="477"/>
      <c r="T90" s="477"/>
      <c r="U90" s="477"/>
      <c r="V90" s="477"/>
      <c r="W90" s="477">
        <v>11867416.02</v>
      </c>
      <c r="X90" s="477"/>
      <c r="Y90" s="477"/>
      <c r="Z90" s="477"/>
      <c r="AA90" s="476"/>
      <c r="AB90" s="476">
        <v>15075180.63</v>
      </c>
    </row>
    <row r="91" spans="1:28" ht="13.5" thickBot="1">
      <c r="A91" s="481" t="s">
        <v>1125</v>
      </c>
      <c r="B91" s="481"/>
      <c r="C91" s="481"/>
      <c r="D91" s="481"/>
      <c r="E91" s="481"/>
      <c r="F91" s="481"/>
      <c r="G91" s="481"/>
      <c r="H91" s="481"/>
      <c r="I91" s="481"/>
      <c r="J91" s="481"/>
      <c r="K91" s="481"/>
      <c r="L91" s="481"/>
      <c r="M91" s="481"/>
      <c r="N91" s="481"/>
      <c r="O91" s="481"/>
      <c r="P91" s="481"/>
      <c r="Q91" s="481"/>
      <c r="R91" s="481"/>
      <c r="S91" s="481"/>
      <c r="T91" s="481"/>
      <c r="U91" s="481"/>
      <c r="V91" s="481"/>
      <c r="W91" s="481"/>
      <c r="X91" s="481"/>
      <c r="Y91" s="481"/>
      <c r="Z91" s="481"/>
      <c r="AA91" s="481"/>
      <c r="AB91" s="481"/>
    </row>
    <row r="92" spans="1:28" ht="12.75">
      <c r="A92" s="447" t="s">
        <v>1126</v>
      </c>
      <c r="B92" s="447"/>
      <c r="C92" s="447"/>
      <c r="D92" s="447"/>
      <c r="E92" s="447"/>
      <c r="F92" s="447"/>
      <c r="G92" s="447"/>
      <c r="H92" s="447"/>
      <c r="I92" s="447"/>
      <c r="J92" s="447"/>
      <c r="K92" s="447"/>
      <c r="L92" s="447"/>
      <c r="M92" s="448" t="s">
        <v>1127</v>
      </c>
      <c r="N92" s="448"/>
      <c r="O92" s="448"/>
      <c r="P92" s="448"/>
      <c r="Q92" s="448"/>
      <c r="R92" s="448"/>
      <c r="S92" s="448"/>
      <c r="T92" s="448"/>
      <c r="U92" s="448"/>
      <c r="V92" s="448"/>
      <c r="W92" s="448"/>
      <c r="X92" s="448"/>
      <c r="Y92" s="449" t="s">
        <v>945</v>
      </c>
      <c r="Z92" s="449"/>
      <c r="AA92" s="449"/>
      <c r="AB92" s="449"/>
    </row>
  </sheetData>
  <mergeCells count="362">
    <mergeCell ref="A91:AB91"/>
    <mergeCell ref="A92:L92"/>
    <mergeCell ref="M92:X92"/>
    <mergeCell ref="Y92:AB92"/>
    <mergeCell ref="B90:D90"/>
    <mergeCell ref="E90:Q90"/>
    <mergeCell ref="S90:V90"/>
    <mergeCell ref="W90:Z90"/>
    <mergeCell ref="B89:D89"/>
    <mergeCell ref="E89:Q89"/>
    <mergeCell ref="S89:V89"/>
    <mergeCell ref="W89:Z89"/>
    <mergeCell ref="B88:C88"/>
    <mergeCell ref="E88:Q88"/>
    <mergeCell ref="S88:V88"/>
    <mergeCell ref="W88:Z88"/>
    <mergeCell ref="B87:D87"/>
    <mergeCell ref="E87:Q87"/>
    <mergeCell ref="S87:V87"/>
    <mergeCell ref="W87:Z87"/>
    <mergeCell ref="B86:D86"/>
    <mergeCell ref="E86:Q86"/>
    <mergeCell ref="S86:V86"/>
    <mergeCell ref="W86:Z86"/>
    <mergeCell ref="B85:C85"/>
    <mergeCell ref="E85:Q85"/>
    <mergeCell ref="S85:V85"/>
    <mergeCell ref="W85:Z85"/>
    <mergeCell ref="B84:D84"/>
    <mergeCell ref="E84:Q84"/>
    <mergeCell ref="S84:V84"/>
    <mergeCell ref="W84:Z84"/>
    <mergeCell ref="B83:D83"/>
    <mergeCell ref="E83:Q83"/>
    <mergeCell ref="S83:V83"/>
    <mergeCell ref="W83:Z83"/>
    <mergeCell ref="B82:D82"/>
    <mergeCell ref="E82:Q82"/>
    <mergeCell ref="S82:V82"/>
    <mergeCell ref="W82:Z82"/>
    <mergeCell ref="B81:D81"/>
    <mergeCell ref="E81:Q81"/>
    <mergeCell ref="S81:V81"/>
    <mergeCell ref="W81:Z81"/>
    <mergeCell ref="B80:D80"/>
    <mergeCell ref="E80:Q80"/>
    <mergeCell ref="S80:V80"/>
    <mergeCell ref="W80:Z80"/>
    <mergeCell ref="B79:C79"/>
    <mergeCell ref="E79:Q79"/>
    <mergeCell ref="S79:V79"/>
    <mergeCell ref="W79:Z79"/>
    <mergeCell ref="B78:D78"/>
    <mergeCell ref="E78:Q78"/>
    <mergeCell ref="S78:V78"/>
    <mergeCell ref="W78:Z78"/>
    <mergeCell ref="B77:D77"/>
    <mergeCell ref="E77:Q77"/>
    <mergeCell ref="S77:V77"/>
    <mergeCell ref="W77:Z77"/>
    <mergeCell ref="B76:D76"/>
    <mergeCell ref="E76:Q76"/>
    <mergeCell ref="S76:V76"/>
    <mergeCell ref="W76:Z76"/>
    <mergeCell ref="B75:D75"/>
    <mergeCell ref="E75:Q75"/>
    <mergeCell ref="S75:V75"/>
    <mergeCell ref="W75:Z75"/>
    <mergeCell ref="B74:D74"/>
    <mergeCell ref="E74:Q74"/>
    <mergeCell ref="S74:V74"/>
    <mergeCell ref="W74:Z74"/>
    <mergeCell ref="B73:D73"/>
    <mergeCell ref="E73:Q73"/>
    <mergeCell ref="S73:V73"/>
    <mergeCell ref="W73:Z73"/>
    <mergeCell ref="B72:D72"/>
    <mergeCell ref="E72:Q72"/>
    <mergeCell ref="S72:V72"/>
    <mergeCell ref="W72:Z72"/>
    <mergeCell ref="B71:D71"/>
    <mergeCell ref="E71:Q71"/>
    <mergeCell ref="S71:V71"/>
    <mergeCell ref="W71:Z71"/>
    <mergeCell ref="B70:D70"/>
    <mergeCell ref="E70:Q70"/>
    <mergeCell ref="S70:V70"/>
    <mergeCell ref="W70:Z70"/>
    <mergeCell ref="B69:D69"/>
    <mergeCell ref="E69:Q69"/>
    <mergeCell ref="S69:V69"/>
    <mergeCell ref="W69:Z69"/>
    <mergeCell ref="B68:D68"/>
    <mergeCell ref="E68:Q68"/>
    <mergeCell ref="S68:V68"/>
    <mergeCell ref="W68:Z68"/>
    <mergeCell ref="B67:D67"/>
    <mergeCell ref="E67:Q67"/>
    <mergeCell ref="S67:V67"/>
    <mergeCell ref="W67:Z67"/>
    <mergeCell ref="B66:D66"/>
    <mergeCell ref="E66:Q66"/>
    <mergeCell ref="S66:V66"/>
    <mergeCell ref="W66:Z66"/>
    <mergeCell ref="B65:D65"/>
    <mergeCell ref="E65:Q65"/>
    <mergeCell ref="S65:V65"/>
    <mergeCell ref="W65:Z65"/>
    <mergeCell ref="W63:Z63"/>
    <mergeCell ref="B64:C64"/>
    <mergeCell ref="E64:Q64"/>
    <mergeCell ref="S64:V64"/>
    <mergeCell ref="W64:Z64"/>
    <mergeCell ref="A63:B63"/>
    <mergeCell ref="C63:D63"/>
    <mergeCell ref="E63:Q63"/>
    <mergeCell ref="S63:V63"/>
    <mergeCell ref="B62:D62"/>
    <mergeCell ref="E62:Q62"/>
    <mergeCell ref="S62:V62"/>
    <mergeCell ref="W62:Z62"/>
    <mergeCell ref="B61:D61"/>
    <mergeCell ref="E61:Q61"/>
    <mergeCell ref="S61:V61"/>
    <mergeCell ref="W61:Z61"/>
    <mergeCell ref="B60:C60"/>
    <mergeCell ref="E60:Q60"/>
    <mergeCell ref="S60:V60"/>
    <mergeCell ref="W60:Z60"/>
    <mergeCell ref="B59:D59"/>
    <mergeCell ref="E59:Q59"/>
    <mergeCell ref="S59:V59"/>
    <mergeCell ref="W59:Z59"/>
    <mergeCell ref="B58:D58"/>
    <mergeCell ref="E58:Q58"/>
    <mergeCell ref="S58:V58"/>
    <mergeCell ref="W58:Z58"/>
    <mergeCell ref="W56:Z56"/>
    <mergeCell ref="B57:C57"/>
    <mergeCell ref="E57:Q57"/>
    <mergeCell ref="S57:V57"/>
    <mergeCell ref="W57:Z57"/>
    <mergeCell ref="A56:D56"/>
    <mergeCell ref="E56:P56"/>
    <mergeCell ref="Q56:R56"/>
    <mergeCell ref="S56:V56"/>
    <mergeCell ref="AA54:AB54"/>
    <mergeCell ref="A55:D55"/>
    <mergeCell ref="E55:P55"/>
    <mergeCell ref="Q55:R55"/>
    <mergeCell ref="S55:V55"/>
    <mergeCell ref="W55:Z55"/>
    <mergeCell ref="A54:D54"/>
    <mergeCell ref="E54:P54"/>
    <mergeCell ref="Q54:R54"/>
    <mergeCell ref="S54:Z54"/>
    <mergeCell ref="B53:D53"/>
    <mergeCell ref="E53:Q53"/>
    <mergeCell ref="S53:V53"/>
    <mergeCell ref="W53:Z53"/>
    <mergeCell ref="B52:D52"/>
    <mergeCell ref="E52:Q52"/>
    <mergeCell ref="S52:V52"/>
    <mergeCell ref="W52:Z52"/>
    <mergeCell ref="B51:D51"/>
    <mergeCell ref="E51:Q51"/>
    <mergeCell ref="S51:V51"/>
    <mergeCell ref="W51:Z51"/>
    <mergeCell ref="B50:D50"/>
    <mergeCell ref="E50:Q50"/>
    <mergeCell ref="S50:V50"/>
    <mergeCell ref="W50:Z50"/>
    <mergeCell ref="B49:D49"/>
    <mergeCell ref="E49:Q49"/>
    <mergeCell ref="S49:V49"/>
    <mergeCell ref="W49:Z49"/>
    <mergeCell ref="B48:C48"/>
    <mergeCell ref="E48:Q48"/>
    <mergeCell ref="S48:V48"/>
    <mergeCell ref="W48:Z48"/>
    <mergeCell ref="B47:D47"/>
    <mergeCell ref="E47:Q47"/>
    <mergeCell ref="S47:V47"/>
    <mergeCell ref="W47:Z47"/>
    <mergeCell ref="B46:D46"/>
    <mergeCell ref="E46:Q46"/>
    <mergeCell ref="S46:V46"/>
    <mergeCell ref="W46:Z46"/>
    <mergeCell ref="B45:D45"/>
    <mergeCell ref="E45:Q45"/>
    <mergeCell ref="S45:V45"/>
    <mergeCell ref="W45:Z45"/>
    <mergeCell ref="B44:D44"/>
    <mergeCell ref="E44:Q44"/>
    <mergeCell ref="S44:V44"/>
    <mergeCell ref="W44:Z44"/>
    <mergeCell ref="B43:D43"/>
    <mergeCell ref="E43:Q43"/>
    <mergeCell ref="S43:V43"/>
    <mergeCell ref="W43:Z43"/>
    <mergeCell ref="B42:D42"/>
    <mergeCell ref="E42:Q42"/>
    <mergeCell ref="S42:V42"/>
    <mergeCell ref="W42:Z42"/>
    <mergeCell ref="B41:D41"/>
    <mergeCell ref="E41:Q41"/>
    <mergeCell ref="S41:V41"/>
    <mergeCell ref="W41:Z41"/>
    <mergeCell ref="B40:D40"/>
    <mergeCell ref="E40:Q40"/>
    <mergeCell ref="S40:V40"/>
    <mergeCell ref="W40:Z40"/>
    <mergeCell ref="B39:D39"/>
    <mergeCell ref="E39:Q39"/>
    <mergeCell ref="S39:V39"/>
    <mergeCell ref="W39:Z39"/>
    <mergeCell ref="B38:D38"/>
    <mergeCell ref="E38:Q38"/>
    <mergeCell ref="S38:V38"/>
    <mergeCell ref="W38:Z38"/>
    <mergeCell ref="B37:D37"/>
    <mergeCell ref="E37:Q37"/>
    <mergeCell ref="S37:V37"/>
    <mergeCell ref="W37:Z37"/>
    <mergeCell ref="B36:D36"/>
    <mergeCell ref="E36:Q36"/>
    <mergeCell ref="S36:V36"/>
    <mergeCell ref="W36:Z36"/>
    <mergeCell ref="B35:D35"/>
    <mergeCell ref="E35:Q35"/>
    <mergeCell ref="S35:V35"/>
    <mergeCell ref="W35:Z35"/>
    <mergeCell ref="B34:D34"/>
    <mergeCell ref="E34:Q34"/>
    <mergeCell ref="S34:V34"/>
    <mergeCell ref="W34:Z34"/>
    <mergeCell ref="B33:D33"/>
    <mergeCell ref="E33:Q33"/>
    <mergeCell ref="S33:V33"/>
    <mergeCell ref="W33:Z33"/>
    <mergeCell ref="B32:D32"/>
    <mergeCell ref="E32:Q32"/>
    <mergeCell ref="S32:V32"/>
    <mergeCell ref="W32:Z32"/>
    <mergeCell ref="B31:D31"/>
    <mergeCell ref="E31:Q31"/>
    <mergeCell ref="S31:V31"/>
    <mergeCell ref="W31:Z31"/>
    <mergeCell ref="B30:D30"/>
    <mergeCell ref="E30:Q30"/>
    <mergeCell ref="S30:V30"/>
    <mergeCell ref="W30:Z30"/>
    <mergeCell ref="B29:D29"/>
    <mergeCell ref="E29:Q29"/>
    <mergeCell ref="S29:V29"/>
    <mergeCell ref="W29:Z29"/>
    <mergeCell ref="B28:D28"/>
    <mergeCell ref="E28:Q28"/>
    <mergeCell ref="S28:V28"/>
    <mergeCell ref="W28:Z28"/>
    <mergeCell ref="B27:D27"/>
    <mergeCell ref="E27:Q27"/>
    <mergeCell ref="S27:V27"/>
    <mergeCell ref="W27:Z27"/>
    <mergeCell ref="B26:D26"/>
    <mergeCell ref="E26:Q26"/>
    <mergeCell ref="S26:V26"/>
    <mergeCell ref="W26:Z26"/>
    <mergeCell ref="B25:D25"/>
    <mergeCell ref="E25:Q25"/>
    <mergeCell ref="S25:V25"/>
    <mergeCell ref="W25:Z25"/>
    <mergeCell ref="B24:D24"/>
    <mergeCell ref="E24:Q24"/>
    <mergeCell ref="S24:V24"/>
    <mergeCell ref="W24:Z24"/>
    <mergeCell ref="B23:D23"/>
    <mergeCell ref="E23:Q23"/>
    <mergeCell ref="S23:V23"/>
    <mergeCell ref="W23:Z23"/>
    <mergeCell ref="B22:D22"/>
    <mergeCell ref="E22:Q22"/>
    <mergeCell ref="S22:V22"/>
    <mergeCell ref="W22:Z22"/>
    <mergeCell ref="B21:D21"/>
    <mergeCell ref="E21:Q21"/>
    <mergeCell ref="S21:V21"/>
    <mergeCell ref="W21:Z21"/>
    <mergeCell ref="B20:D20"/>
    <mergeCell ref="E20:Q20"/>
    <mergeCell ref="S20:V20"/>
    <mergeCell ref="W20:Z20"/>
    <mergeCell ref="B19:D19"/>
    <mergeCell ref="E19:Q19"/>
    <mergeCell ref="S19:V19"/>
    <mergeCell ref="W19:Z19"/>
    <mergeCell ref="B18:D18"/>
    <mergeCell ref="E18:Q18"/>
    <mergeCell ref="S18:V18"/>
    <mergeCell ref="W18:Z18"/>
    <mergeCell ref="B17:D17"/>
    <mergeCell ref="E17:Q17"/>
    <mergeCell ref="S17:V17"/>
    <mergeCell ref="W17:Z17"/>
    <mergeCell ref="B16:D16"/>
    <mergeCell ref="E16:Q16"/>
    <mergeCell ref="S16:V16"/>
    <mergeCell ref="W16:Z16"/>
    <mergeCell ref="B15:D15"/>
    <mergeCell ref="E15:Q15"/>
    <mergeCell ref="S15:V15"/>
    <mergeCell ref="W15:Z15"/>
    <mergeCell ref="B14:D14"/>
    <mergeCell ref="E14:Q14"/>
    <mergeCell ref="S14:V14"/>
    <mergeCell ref="W14:Z14"/>
    <mergeCell ref="B13:D13"/>
    <mergeCell ref="E13:Q13"/>
    <mergeCell ref="S13:V13"/>
    <mergeCell ref="W13:Z13"/>
    <mergeCell ref="W11:Z11"/>
    <mergeCell ref="B12:C12"/>
    <mergeCell ref="E12:Q12"/>
    <mergeCell ref="S12:V12"/>
    <mergeCell ref="W12:Z12"/>
    <mergeCell ref="A11:B11"/>
    <mergeCell ref="C11:D11"/>
    <mergeCell ref="E11:Q11"/>
    <mergeCell ref="S11:V11"/>
    <mergeCell ref="W9:Z9"/>
    <mergeCell ref="A10:D10"/>
    <mergeCell ref="E10:P10"/>
    <mergeCell ref="Q10:R10"/>
    <mergeCell ref="S10:V10"/>
    <mergeCell ref="W10:Z10"/>
    <mergeCell ref="A9:D9"/>
    <mergeCell ref="E9:P9"/>
    <mergeCell ref="Q9:R9"/>
    <mergeCell ref="S9:V9"/>
    <mergeCell ref="A7:H7"/>
    <mergeCell ref="I7:J7"/>
    <mergeCell ref="K7:AB7"/>
    <mergeCell ref="A8:D8"/>
    <mergeCell ref="E8:P8"/>
    <mergeCell ref="Q8:R8"/>
    <mergeCell ref="S8:Z8"/>
    <mergeCell ref="AA8:AB8"/>
    <mergeCell ref="A5:H5"/>
    <mergeCell ref="I5:J5"/>
    <mergeCell ref="K5:AB5"/>
    <mergeCell ref="A6:H6"/>
    <mergeCell ref="I6:J6"/>
    <mergeCell ref="K6:AB6"/>
    <mergeCell ref="A3:B3"/>
    <mergeCell ref="C3:H3"/>
    <mergeCell ref="I3:AB3"/>
    <mergeCell ref="A4:H4"/>
    <mergeCell ref="I4:AB4"/>
    <mergeCell ref="A1:H1"/>
    <mergeCell ref="I1:AB1"/>
    <mergeCell ref="A2:H2"/>
    <mergeCell ref="I2:AB2"/>
  </mergeCells>
  <printOptions/>
  <pageMargins left="0.3937007874015748" right="0.3937007874015748" top="0.5905511811023623" bottom="0.5905511811023623" header="0.31496062992125984" footer="0.31496062992125984"/>
  <pageSetup horizontalDpi="200" verticalDpi="2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01"/>
  <sheetViews>
    <sheetView workbookViewId="0" topLeftCell="A1">
      <selection activeCell="A1" sqref="A1:IV16384"/>
    </sheetView>
  </sheetViews>
  <sheetFormatPr defaultColWidth="9.140625" defaultRowHeight="12.75"/>
  <cols>
    <col min="1" max="4" width="1.57421875" style="0" customWidth="1"/>
    <col min="5" max="5" width="4.57421875" style="0" customWidth="1"/>
    <col min="6" max="7" width="7.421875" style="0" customWidth="1"/>
    <col min="8" max="8" width="1.57421875" style="0" customWidth="1"/>
    <col min="9" max="9" width="5.8515625" style="0" customWidth="1"/>
    <col min="10" max="10" width="4.57421875" style="0" customWidth="1"/>
    <col min="11" max="11" width="1.57421875" style="0" customWidth="1"/>
    <col min="12" max="12" width="5.8515625" style="0" customWidth="1"/>
    <col min="13" max="14" width="1.57421875" style="0" customWidth="1"/>
    <col min="15" max="15" width="7.421875" style="0" customWidth="1"/>
    <col min="16" max="16" width="9.00390625" style="0" customWidth="1"/>
    <col min="17" max="17" width="3.00390625" style="0" customWidth="1"/>
    <col min="18" max="18" width="4.57421875" style="0" customWidth="1"/>
    <col min="19" max="19" width="8.7109375" style="0" customWidth="1"/>
    <col min="20" max="20" width="2.7109375" style="0" customWidth="1"/>
    <col min="21" max="21" width="9.00390625" style="0" customWidth="1"/>
    <col min="22" max="22" width="1.57421875" style="0" customWidth="1"/>
    <col min="23" max="23" width="9.00390625" style="0" customWidth="1"/>
    <col min="24" max="25" width="11.421875" style="0" customWidth="1"/>
    <col min="26" max="26" width="4.57421875" style="0" customWidth="1"/>
    <col min="27" max="27" width="11.421875" style="0" customWidth="1"/>
    <col min="28" max="28" width="13.8515625" style="0" customWidth="1"/>
  </cols>
  <sheetData>
    <row r="1" spans="1:28" ht="13.5" thickBot="1">
      <c r="A1" s="389" t="s">
        <v>946</v>
      </c>
      <c r="B1" s="389"/>
      <c r="C1" s="389"/>
      <c r="D1" s="389"/>
      <c r="E1" s="389"/>
      <c r="F1" s="389"/>
      <c r="G1" s="389"/>
      <c r="H1" s="389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3" t="s">
        <v>1128</v>
      </c>
    </row>
    <row r="2" spans="1:28" ht="20.25" customHeight="1">
      <c r="A2" s="343"/>
      <c r="B2" s="343"/>
      <c r="C2" s="343"/>
      <c r="D2" s="343"/>
      <c r="E2" s="343"/>
      <c r="F2" s="343"/>
      <c r="G2" s="343"/>
      <c r="H2" s="343"/>
      <c r="I2" s="341" t="s">
        <v>948</v>
      </c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</row>
    <row r="3" spans="1:28" ht="12.75">
      <c r="A3" s="343"/>
      <c r="B3" s="343"/>
      <c r="C3" s="392"/>
      <c r="D3" s="392"/>
      <c r="E3" s="392"/>
      <c r="F3" s="392"/>
      <c r="G3" s="392"/>
      <c r="H3" s="392"/>
      <c r="I3" s="348" t="s">
        <v>949</v>
      </c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</row>
    <row r="4" spans="1:28" ht="12.75">
      <c r="A4" s="343"/>
      <c r="B4" s="343"/>
      <c r="C4" s="343"/>
      <c r="D4" s="343"/>
      <c r="E4" s="343"/>
      <c r="F4" s="343"/>
      <c r="G4" s="343"/>
      <c r="H4" s="343"/>
      <c r="I4" s="343" t="s">
        <v>950</v>
      </c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</row>
    <row r="5" spans="1:28" ht="12.75" customHeight="1">
      <c r="A5" s="343"/>
      <c r="B5" s="343"/>
      <c r="C5" s="343"/>
      <c r="D5" s="343"/>
      <c r="E5" s="343"/>
      <c r="F5" s="343"/>
      <c r="G5" s="343"/>
      <c r="H5" s="343"/>
      <c r="I5" s="484" t="s">
        <v>951</v>
      </c>
      <c r="J5" s="484"/>
      <c r="K5" s="485" t="s">
        <v>1129</v>
      </c>
      <c r="L5" s="485"/>
      <c r="M5" s="485"/>
      <c r="N5" s="485"/>
      <c r="O5" s="485"/>
      <c r="P5" s="485"/>
      <c r="Q5" s="485"/>
      <c r="R5" s="485"/>
      <c r="S5" s="486" t="s">
        <v>1543</v>
      </c>
      <c r="T5" s="485"/>
      <c r="U5" s="485" t="s">
        <v>1130</v>
      </c>
      <c r="V5" s="485"/>
      <c r="W5" s="485"/>
      <c r="X5" s="485"/>
      <c r="Y5" s="485"/>
      <c r="Z5" s="485"/>
      <c r="AA5" s="485"/>
      <c r="AB5" s="485"/>
    </row>
    <row r="6" spans="1:28" s="488" customFormat="1" ht="12.75" customHeight="1">
      <c r="A6" s="487"/>
      <c r="B6" s="487"/>
      <c r="C6" s="487"/>
      <c r="D6" s="487"/>
      <c r="E6" s="487"/>
      <c r="F6" s="487"/>
      <c r="G6" s="487"/>
      <c r="H6" s="487"/>
      <c r="J6" s="489"/>
      <c r="L6" s="490"/>
      <c r="M6" s="490"/>
      <c r="N6" s="490"/>
      <c r="O6" s="490"/>
      <c r="P6" s="490"/>
      <c r="Q6" s="490"/>
      <c r="R6" s="490"/>
      <c r="S6" s="489" t="s">
        <v>954</v>
      </c>
      <c r="T6" s="490"/>
      <c r="U6" s="490" t="s">
        <v>1131</v>
      </c>
      <c r="V6" s="490"/>
      <c r="W6" s="490"/>
      <c r="X6" s="490"/>
      <c r="Y6" s="490"/>
      <c r="Z6" s="490"/>
      <c r="AA6" s="490"/>
      <c r="AB6" s="490"/>
    </row>
    <row r="7" spans="1:28" s="488" customFormat="1" ht="4.5" customHeight="1" thickBot="1">
      <c r="A7" s="487"/>
      <c r="B7" s="487"/>
      <c r="C7" s="487"/>
      <c r="D7" s="487"/>
      <c r="E7" s="487"/>
      <c r="F7" s="487"/>
      <c r="G7" s="487"/>
      <c r="H7" s="487"/>
      <c r="J7" s="489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</row>
    <row r="8" spans="1:28" ht="9.75" customHeight="1" thickBot="1">
      <c r="A8" s="350" t="s">
        <v>956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1" t="s">
        <v>957</v>
      </c>
      <c r="R8" s="451"/>
      <c r="S8" s="452" t="s">
        <v>958</v>
      </c>
      <c r="T8" s="453"/>
      <c r="U8" s="453"/>
      <c r="V8" s="453"/>
      <c r="W8" s="453"/>
      <c r="X8" s="453"/>
      <c r="Y8" s="453"/>
      <c r="Z8" s="454"/>
      <c r="AA8" s="452" t="s">
        <v>959</v>
      </c>
      <c r="AB8" s="453"/>
    </row>
    <row r="9" spans="1:28" ht="9.75" customHeight="1">
      <c r="A9" s="455" t="s">
        <v>960</v>
      </c>
      <c r="B9" s="455"/>
      <c r="C9" s="455"/>
      <c r="D9" s="455"/>
      <c r="E9" s="455" t="s">
        <v>2124</v>
      </c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6" t="s">
        <v>961</v>
      </c>
      <c r="R9" s="457"/>
      <c r="S9" s="458" t="s">
        <v>1339</v>
      </c>
      <c r="T9" s="351"/>
      <c r="U9" s="351"/>
      <c r="V9" s="351"/>
      <c r="W9" s="351" t="s">
        <v>962</v>
      </c>
      <c r="X9" s="351"/>
      <c r="Y9" s="351"/>
      <c r="Z9" s="451"/>
      <c r="AA9" s="459" t="s">
        <v>1339</v>
      </c>
      <c r="AB9" s="459" t="s">
        <v>962</v>
      </c>
    </row>
    <row r="10" spans="1:28" ht="9.75" customHeight="1">
      <c r="A10" s="460"/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1"/>
      <c r="R10" s="462"/>
      <c r="S10" s="463" t="s">
        <v>1659</v>
      </c>
      <c r="T10" s="464"/>
      <c r="U10" s="464"/>
      <c r="V10" s="464"/>
      <c r="W10" s="461" t="s">
        <v>1729</v>
      </c>
      <c r="X10" s="461"/>
      <c r="Y10" s="461"/>
      <c r="Z10" s="462"/>
      <c r="AA10" s="465" t="s">
        <v>2336</v>
      </c>
      <c r="AB10" s="466" t="s">
        <v>1785</v>
      </c>
    </row>
    <row r="11" spans="1:28" s="488" customFormat="1" ht="4.5" customHeight="1" thickBot="1">
      <c r="A11" s="487"/>
      <c r="B11" s="487"/>
      <c r="C11" s="487"/>
      <c r="D11" s="487"/>
      <c r="E11" s="487"/>
      <c r="F11" s="487"/>
      <c r="G11" s="487"/>
      <c r="H11" s="487"/>
      <c r="J11" s="489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</row>
    <row r="12" spans="1:28" ht="13.5" thickBot="1">
      <c r="A12" s="363" t="s">
        <v>963</v>
      </c>
      <c r="B12" s="363"/>
      <c r="C12" s="363"/>
      <c r="D12" s="363"/>
      <c r="E12" s="363" t="s">
        <v>964</v>
      </c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467"/>
      <c r="S12" s="468">
        <v>17100412.7</v>
      </c>
      <c r="T12" s="468"/>
      <c r="U12" s="468"/>
      <c r="V12" s="468"/>
      <c r="W12" s="468">
        <v>404083</v>
      </c>
      <c r="X12" s="468"/>
      <c r="Y12" s="468"/>
      <c r="Z12" s="468"/>
      <c r="AA12" s="469">
        <v>15676132.36</v>
      </c>
      <c r="AB12" s="469">
        <v>1032</v>
      </c>
    </row>
    <row r="13" spans="1:28" s="488" customFormat="1" ht="4.5" customHeight="1" thickBot="1">
      <c r="A13" s="487"/>
      <c r="B13" s="487"/>
      <c r="C13" s="487"/>
      <c r="D13" s="487"/>
      <c r="E13" s="487"/>
      <c r="F13" s="487"/>
      <c r="G13" s="487"/>
      <c r="H13" s="487"/>
      <c r="J13" s="489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</row>
    <row r="14" spans="1:28" ht="13.5" thickBot="1">
      <c r="A14" s="470"/>
      <c r="B14" s="369" t="s">
        <v>965</v>
      </c>
      <c r="C14" s="369"/>
      <c r="D14" s="470"/>
      <c r="E14" s="356" t="s">
        <v>966</v>
      </c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471"/>
      <c r="S14" s="472">
        <v>17100412.7</v>
      </c>
      <c r="T14" s="472"/>
      <c r="U14" s="472"/>
      <c r="V14" s="472"/>
      <c r="W14" s="472">
        <v>404083</v>
      </c>
      <c r="X14" s="472"/>
      <c r="Y14" s="472"/>
      <c r="Z14" s="472"/>
      <c r="AA14" s="473">
        <v>15605857.95</v>
      </c>
      <c r="AB14" s="473">
        <v>1032</v>
      </c>
    </row>
    <row r="15" spans="1:28" ht="9.75" customHeight="1">
      <c r="A15" s="474"/>
      <c r="B15" s="355" t="s">
        <v>1492</v>
      </c>
      <c r="C15" s="355"/>
      <c r="D15" s="355"/>
      <c r="E15" s="354" t="s">
        <v>967</v>
      </c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474" t="s">
        <v>1809</v>
      </c>
      <c r="S15" s="475">
        <v>2262935.41</v>
      </c>
      <c r="T15" s="475"/>
      <c r="U15" s="475"/>
      <c r="V15" s="475"/>
      <c r="W15" s="475">
        <v>404083</v>
      </c>
      <c r="X15" s="475"/>
      <c r="Y15" s="475"/>
      <c r="Z15" s="475"/>
      <c r="AA15" s="476">
        <v>1866828.53</v>
      </c>
      <c r="AB15" s="476">
        <v>1032</v>
      </c>
    </row>
    <row r="16" spans="1:28" ht="9.75" customHeight="1">
      <c r="A16" s="474"/>
      <c r="B16" s="352" t="s">
        <v>1496</v>
      </c>
      <c r="C16" s="352"/>
      <c r="D16" s="352"/>
      <c r="E16" s="343" t="s">
        <v>968</v>
      </c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474" t="s">
        <v>1820</v>
      </c>
      <c r="S16" s="477">
        <v>1448289.38</v>
      </c>
      <c r="T16" s="477"/>
      <c r="U16" s="477"/>
      <c r="V16" s="477"/>
      <c r="W16" s="477"/>
      <c r="X16" s="477"/>
      <c r="Y16" s="477"/>
      <c r="Z16" s="477"/>
      <c r="AA16" s="476">
        <v>1614338.16</v>
      </c>
      <c r="AB16" s="476"/>
    </row>
    <row r="17" spans="1:28" ht="9.75" customHeight="1">
      <c r="A17" s="474"/>
      <c r="B17" s="352" t="s">
        <v>1500</v>
      </c>
      <c r="C17" s="352"/>
      <c r="D17" s="352"/>
      <c r="E17" s="343" t="s">
        <v>969</v>
      </c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474" t="s">
        <v>1840</v>
      </c>
      <c r="S17" s="477"/>
      <c r="T17" s="477"/>
      <c r="U17" s="477"/>
      <c r="V17" s="477"/>
      <c r="W17" s="477"/>
      <c r="X17" s="477"/>
      <c r="Y17" s="477"/>
      <c r="Z17" s="477"/>
      <c r="AA17" s="476"/>
      <c r="AB17" s="476"/>
    </row>
    <row r="18" spans="1:28" ht="9.75" customHeight="1">
      <c r="A18" s="474"/>
      <c r="B18" s="352" t="s">
        <v>1506</v>
      </c>
      <c r="C18" s="352"/>
      <c r="D18" s="352"/>
      <c r="E18" s="343" t="s">
        <v>970</v>
      </c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474" t="s">
        <v>971</v>
      </c>
      <c r="S18" s="477"/>
      <c r="T18" s="477"/>
      <c r="U18" s="477"/>
      <c r="V18" s="477"/>
      <c r="W18" s="477"/>
      <c r="X18" s="477"/>
      <c r="Y18" s="477"/>
      <c r="Z18" s="477"/>
      <c r="AA18" s="476"/>
      <c r="AB18" s="476"/>
    </row>
    <row r="19" spans="1:28" ht="9.75" customHeight="1">
      <c r="A19" s="474"/>
      <c r="B19" s="352" t="s">
        <v>1512</v>
      </c>
      <c r="C19" s="352"/>
      <c r="D19" s="352"/>
      <c r="E19" s="343" t="s">
        <v>972</v>
      </c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474" t="s">
        <v>973</v>
      </c>
      <c r="S19" s="477"/>
      <c r="T19" s="477"/>
      <c r="U19" s="477"/>
      <c r="V19" s="477"/>
      <c r="W19" s="477"/>
      <c r="X19" s="477"/>
      <c r="Y19" s="477"/>
      <c r="Z19" s="477"/>
      <c r="AA19" s="476"/>
      <c r="AB19" s="476"/>
    </row>
    <row r="20" spans="1:28" ht="9.75" customHeight="1">
      <c r="A20" s="474"/>
      <c r="B20" s="352" t="s">
        <v>1515</v>
      </c>
      <c r="C20" s="352"/>
      <c r="D20" s="352"/>
      <c r="E20" s="343" t="s">
        <v>974</v>
      </c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474" t="s">
        <v>975</v>
      </c>
      <c r="S20" s="477"/>
      <c r="T20" s="477"/>
      <c r="U20" s="477"/>
      <c r="V20" s="477"/>
      <c r="W20" s="477"/>
      <c r="X20" s="477"/>
      <c r="Y20" s="477"/>
      <c r="Z20" s="477"/>
      <c r="AA20" s="476"/>
      <c r="AB20" s="476"/>
    </row>
    <row r="21" spans="1:28" ht="9.75" customHeight="1">
      <c r="A21" s="474"/>
      <c r="B21" s="352" t="s">
        <v>1521</v>
      </c>
      <c r="C21" s="352"/>
      <c r="D21" s="352"/>
      <c r="E21" s="343" t="s">
        <v>976</v>
      </c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474" t="s">
        <v>977</v>
      </c>
      <c r="S21" s="477"/>
      <c r="T21" s="477"/>
      <c r="U21" s="477"/>
      <c r="V21" s="477"/>
      <c r="W21" s="477"/>
      <c r="X21" s="477"/>
      <c r="Y21" s="477"/>
      <c r="Z21" s="477"/>
      <c r="AA21" s="476"/>
      <c r="AB21" s="476"/>
    </row>
    <row r="22" spans="1:28" ht="9.75" customHeight="1">
      <c r="A22" s="474"/>
      <c r="B22" s="352" t="s">
        <v>1527</v>
      </c>
      <c r="C22" s="352"/>
      <c r="D22" s="352"/>
      <c r="E22" s="343" t="s">
        <v>1941</v>
      </c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474" t="s">
        <v>978</v>
      </c>
      <c r="S22" s="477">
        <v>24268</v>
      </c>
      <c r="T22" s="477"/>
      <c r="U22" s="477"/>
      <c r="V22" s="477"/>
      <c r="W22" s="477"/>
      <c r="X22" s="477"/>
      <c r="Y22" s="477"/>
      <c r="Z22" s="477"/>
      <c r="AA22" s="476">
        <v>181036</v>
      </c>
      <c r="AB22" s="476"/>
    </row>
    <row r="23" spans="1:28" ht="9.75" customHeight="1">
      <c r="A23" s="474"/>
      <c r="B23" s="352" t="s">
        <v>1529</v>
      </c>
      <c r="C23" s="352"/>
      <c r="D23" s="352"/>
      <c r="E23" s="343" t="s">
        <v>979</v>
      </c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474" t="s">
        <v>980</v>
      </c>
      <c r="S23" s="477">
        <v>4244</v>
      </c>
      <c r="T23" s="477"/>
      <c r="U23" s="477"/>
      <c r="V23" s="477"/>
      <c r="W23" s="477"/>
      <c r="X23" s="477"/>
      <c r="Y23" s="477"/>
      <c r="Z23" s="477"/>
      <c r="AA23" s="476">
        <v>4000</v>
      </c>
      <c r="AB23" s="476"/>
    </row>
    <row r="24" spans="1:28" ht="9.75" customHeight="1">
      <c r="A24" s="474"/>
      <c r="B24" s="352" t="s">
        <v>1531</v>
      </c>
      <c r="C24" s="352"/>
      <c r="D24" s="352"/>
      <c r="E24" s="343" t="s">
        <v>981</v>
      </c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474" t="s">
        <v>1870</v>
      </c>
      <c r="S24" s="477"/>
      <c r="T24" s="477"/>
      <c r="U24" s="477"/>
      <c r="V24" s="477"/>
      <c r="W24" s="477"/>
      <c r="X24" s="477"/>
      <c r="Y24" s="477"/>
      <c r="Z24" s="477"/>
      <c r="AA24" s="476"/>
      <c r="AB24" s="476"/>
    </row>
    <row r="25" spans="1:28" ht="9.75" customHeight="1">
      <c r="A25" s="474"/>
      <c r="B25" s="352" t="s">
        <v>982</v>
      </c>
      <c r="C25" s="352"/>
      <c r="D25" s="352"/>
      <c r="E25" s="343" t="s">
        <v>983</v>
      </c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474" t="s">
        <v>1935</v>
      </c>
      <c r="S25" s="477"/>
      <c r="T25" s="477"/>
      <c r="U25" s="477"/>
      <c r="V25" s="477"/>
      <c r="W25" s="477"/>
      <c r="X25" s="477"/>
      <c r="Y25" s="477"/>
      <c r="Z25" s="477"/>
      <c r="AA25" s="476"/>
      <c r="AB25" s="476"/>
    </row>
    <row r="26" spans="1:28" ht="9.75" customHeight="1">
      <c r="A26" s="474"/>
      <c r="B26" s="352" t="s">
        <v>984</v>
      </c>
      <c r="C26" s="352"/>
      <c r="D26" s="352"/>
      <c r="E26" s="343" t="s">
        <v>985</v>
      </c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474" t="s">
        <v>986</v>
      </c>
      <c r="S26" s="477">
        <v>394381.58</v>
      </c>
      <c r="T26" s="477"/>
      <c r="U26" s="477"/>
      <c r="V26" s="477"/>
      <c r="W26" s="477"/>
      <c r="X26" s="477"/>
      <c r="Y26" s="477"/>
      <c r="Z26" s="477"/>
      <c r="AA26" s="476">
        <v>371009.76</v>
      </c>
      <c r="AB26" s="476"/>
    </row>
    <row r="27" spans="1:28" ht="9.75" customHeight="1">
      <c r="A27" s="474"/>
      <c r="B27" s="352" t="s">
        <v>987</v>
      </c>
      <c r="C27" s="352"/>
      <c r="D27" s="352"/>
      <c r="E27" s="343" t="s">
        <v>988</v>
      </c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474" t="s">
        <v>989</v>
      </c>
      <c r="S27" s="477">
        <v>9177333</v>
      </c>
      <c r="T27" s="477"/>
      <c r="U27" s="477"/>
      <c r="V27" s="477"/>
      <c r="W27" s="477"/>
      <c r="X27" s="477"/>
      <c r="Y27" s="477"/>
      <c r="Z27" s="477"/>
      <c r="AA27" s="476">
        <v>8522027</v>
      </c>
      <c r="AB27" s="476"/>
    </row>
    <row r="28" spans="1:28" ht="9.75" customHeight="1">
      <c r="A28" s="474"/>
      <c r="B28" s="352" t="s">
        <v>990</v>
      </c>
      <c r="C28" s="352"/>
      <c r="D28" s="352"/>
      <c r="E28" s="343" t="s">
        <v>991</v>
      </c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474" t="s">
        <v>992</v>
      </c>
      <c r="S28" s="477">
        <v>3098016</v>
      </c>
      <c r="T28" s="477"/>
      <c r="U28" s="477"/>
      <c r="V28" s="477"/>
      <c r="W28" s="477"/>
      <c r="X28" s="477"/>
      <c r="Y28" s="477"/>
      <c r="Z28" s="477"/>
      <c r="AA28" s="476">
        <v>2884800</v>
      </c>
      <c r="AB28" s="476"/>
    </row>
    <row r="29" spans="1:28" ht="9.75" customHeight="1">
      <c r="A29" s="474"/>
      <c r="B29" s="352" t="s">
        <v>993</v>
      </c>
      <c r="C29" s="352"/>
      <c r="D29" s="352"/>
      <c r="E29" s="343" t="s">
        <v>994</v>
      </c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474" t="s">
        <v>995</v>
      </c>
      <c r="S29" s="477">
        <v>38018</v>
      </c>
      <c r="T29" s="477"/>
      <c r="U29" s="477"/>
      <c r="V29" s="477"/>
      <c r="W29" s="477"/>
      <c r="X29" s="477"/>
      <c r="Y29" s="477"/>
      <c r="Z29" s="477"/>
      <c r="AA29" s="476"/>
      <c r="AB29" s="476"/>
    </row>
    <row r="30" spans="1:28" ht="9.75" customHeight="1">
      <c r="A30" s="474"/>
      <c r="B30" s="352" t="s">
        <v>996</v>
      </c>
      <c r="C30" s="352"/>
      <c r="D30" s="352"/>
      <c r="E30" s="343" t="s">
        <v>997</v>
      </c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474" t="s">
        <v>998</v>
      </c>
      <c r="S30" s="477">
        <v>90893.33</v>
      </c>
      <c r="T30" s="477"/>
      <c r="U30" s="477"/>
      <c r="V30" s="477"/>
      <c r="W30" s="477"/>
      <c r="X30" s="477"/>
      <c r="Y30" s="477"/>
      <c r="Z30" s="477"/>
      <c r="AA30" s="476">
        <v>84774.5</v>
      </c>
      <c r="AB30" s="476"/>
    </row>
    <row r="31" spans="1:28" ht="9.75" customHeight="1">
      <c r="A31" s="474"/>
      <c r="B31" s="352" t="s">
        <v>999</v>
      </c>
      <c r="C31" s="352"/>
      <c r="D31" s="352"/>
      <c r="E31" s="343" t="s">
        <v>1000</v>
      </c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474" t="s">
        <v>1001</v>
      </c>
      <c r="S31" s="477"/>
      <c r="T31" s="477"/>
      <c r="U31" s="477"/>
      <c r="V31" s="477"/>
      <c r="W31" s="477"/>
      <c r="X31" s="477"/>
      <c r="Y31" s="477"/>
      <c r="Z31" s="477"/>
      <c r="AA31" s="476">
        <v>45423</v>
      </c>
      <c r="AB31" s="476"/>
    </row>
    <row r="32" spans="1:28" ht="9.75" customHeight="1">
      <c r="A32" s="474"/>
      <c r="B32" s="352" t="s">
        <v>1002</v>
      </c>
      <c r="C32" s="352"/>
      <c r="D32" s="352"/>
      <c r="E32" s="343" t="s">
        <v>1003</v>
      </c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474" t="s">
        <v>1004</v>
      </c>
      <c r="S32" s="477"/>
      <c r="T32" s="477"/>
      <c r="U32" s="477"/>
      <c r="V32" s="477"/>
      <c r="W32" s="477"/>
      <c r="X32" s="477"/>
      <c r="Y32" s="477"/>
      <c r="Z32" s="477"/>
      <c r="AA32" s="476"/>
      <c r="AB32" s="476"/>
    </row>
    <row r="33" spans="1:28" ht="9.75" customHeight="1">
      <c r="A33" s="474"/>
      <c r="B33" s="352" t="s">
        <v>1005</v>
      </c>
      <c r="C33" s="352"/>
      <c r="D33" s="352"/>
      <c r="E33" s="343" t="s">
        <v>1652</v>
      </c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474" t="s">
        <v>1006</v>
      </c>
      <c r="S33" s="477"/>
      <c r="T33" s="477"/>
      <c r="U33" s="477"/>
      <c r="V33" s="477"/>
      <c r="W33" s="477"/>
      <c r="X33" s="477"/>
      <c r="Y33" s="477"/>
      <c r="Z33" s="477"/>
      <c r="AA33" s="476"/>
      <c r="AB33" s="476"/>
    </row>
    <row r="34" spans="1:28" ht="9.75" customHeight="1">
      <c r="A34" s="474"/>
      <c r="B34" s="352" t="s">
        <v>1007</v>
      </c>
      <c r="C34" s="352"/>
      <c r="D34" s="352"/>
      <c r="E34" s="343" t="s">
        <v>1008</v>
      </c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474" t="s">
        <v>1009</v>
      </c>
      <c r="S34" s="477"/>
      <c r="T34" s="477"/>
      <c r="U34" s="477"/>
      <c r="V34" s="477"/>
      <c r="W34" s="477"/>
      <c r="X34" s="477"/>
      <c r="Y34" s="477"/>
      <c r="Z34" s="477"/>
      <c r="AA34" s="476"/>
      <c r="AB34" s="476"/>
    </row>
    <row r="35" spans="1:28" ht="9.75" customHeight="1">
      <c r="A35" s="474"/>
      <c r="B35" s="352" t="s">
        <v>1010</v>
      </c>
      <c r="C35" s="352"/>
      <c r="D35" s="352"/>
      <c r="E35" s="343" t="s">
        <v>1011</v>
      </c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474" t="s">
        <v>2037</v>
      </c>
      <c r="S35" s="477"/>
      <c r="T35" s="477"/>
      <c r="U35" s="477"/>
      <c r="V35" s="477"/>
      <c r="W35" s="477"/>
      <c r="X35" s="477"/>
      <c r="Y35" s="477"/>
      <c r="Z35" s="477"/>
      <c r="AA35" s="476"/>
      <c r="AB35" s="476"/>
    </row>
    <row r="36" spans="1:28" ht="9.75" customHeight="1">
      <c r="A36" s="474"/>
      <c r="B36" s="352" t="s">
        <v>1012</v>
      </c>
      <c r="C36" s="352"/>
      <c r="D36" s="352"/>
      <c r="E36" s="343" t="s">
        <v>1013</v>
      </c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474" t="s">
        <v>2043</v>
      </c>
      <c r="S36" s="477"/>
      <c r="T36" s="477"/>
      <c r="U36" s="477"/>
      <c r="V36" s="477"/>
      <c r="W36" s="477"/>
      <c r="X36" s="477"/>
      <c r="Y36" s="477"/>
      <c r="Z36" s="477"/>
      <c r="AA36" s="476"/>
      <c r="AB36" s="476"/>
    </row>
    <row r="37" spans="1:28" ht="9.75" customHeight="1">
      <c r="A37" s="474"/>
      <c r="B37" s="352" t="s">
        <v>1014</v>
      </c>
      <c r="C37" s="352"/>
      <c r="D37" s="352"/>
      <c r="E37" s="343" t="s">
        <v>1015</v>
      </c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474" t="s">
        <v>1016</v>
      </c>
      <c r="S37" s="477"/>
      <c r="T37" s="477"/>
      <c r="U37" s="477"/>
      <c r="V37" s="477"/>
      <c r="W37" s="477"/>
      <c r="X37" s="477"/>
      <c r="Y37" s="477"/>
      <c r="Z37" s="477"/>
      <c r="AA37" s="476"/>
      <c r="AB37" s="476"/>
    </row>
    <row r="38" spans="1:28" ht="9.75" customHeight="1">
      <c r="A38" s="474"/>
      <c r="B38" s="352" t="s">
        <v>1017</v>
      </c>
      <c r="C38" s="352"/>
      <c r="D38" s="352"/>
      <c r="E38" s="343" t="s">
        <v>1018</v>
      </c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474" t="s">
        <v>1019</v>
      </c>
      <c r="S38" s="477"/>
      <c r="T38" s="477"/>
      <c r="U38" s="477"/>
      <c r="V38" s="477"/>
      <c r="W38" s="477"/>
      <c r="X38" s="477"/>
      <c r="Y38" s="477"/>
      <c r="Z38" s="477"/>
      <c r="AA38" s="476"/>
      <c r="AB38" s="476"/>
    </row>
    <row r="39" spans="1:28" ht="9.75" customHeight="1">
      <c r="A39" s="474"/>
      <c r="B39" s="352" t="s">
        <v>1020</v>
      </c>
      <c r="C39" s="352"/>
      <c r="D39" s="352"/>
      <c r="E39" s="343" t="s">
        <v>1021</v>
      </c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474" t="s">
        <v>1022</v>
      </c>
      <c r="S39" s="477"/>
      <c r="T39" s="477"/>
      <c r="U39" s="477"/>
      <c r="V39" s="477"/>
      <c r="W39" s="477"/>
      <c r="X39" s="477"/>
      <c r="Y39" s="477"/>
      <c r="Z39" s="477"/>
      <c r="AA39" s="476"/>
      <c r="AB39" s="476"/>
    </row>
    <row r="40" spans="1:28" ht="9.75" customHeight="1">
      <c r="A40" s="474"/>
      <c r="B40" s="352" t="s">
        <v>1023</v>
      </c>
      <c r="C40" s="352"/>
      <c r="D40" s="352"/>
      <c r="E40" s="343" t="s">
        <v>1024</v>
      </c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474" t="s">
        <v>1025</v>
      </c>
      <c r="S40" s="477"/>
      <c r="T40" s="477"/>
      <c r="U40" s="477"/>
      <c r="V40" s="477"/>
      <c r="W40" s="477"/>
      <c r="X40" s="477"/>
      <c r="Y40" s="477"/>
      <c r="Z40" s="477"/>
      <c r="AA40" s="476"/>
      <c r="AB40" s="476"/>
    </row>
    <row r="41" spans="1:28" ht="9.75" customHeight="1">
      <c r="A41" s="474"/>
      <c r="B41" s="352" t="s">
        <v>1026</v>
      </c>
      <c r="C41" s="352"/>
      <c r="D41" s="352"/>
      <c r="E41" s="343" t="s">
        <v>1027</v>
      </c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474" t="s">
        <v>1028</v>
      </c>
      <c r="S41" s="477">
        <v>21729</v>
      </c>
      <c r="T41" s="477"/>
      <c r="U41" s="477"/>
      <c r="V41" s="477"/>
      <c r="W41" s="477"/>
      <c r="X41" s="477"/>
      <c r="Y41" s="477"/>
      <c r="Z41" s="477"/>
      <c r="AA41" s="476">
        <v>31621</v>
      </c>
      <c r="AB41" s="476"/>
    </row>
    <row r="42" spans="1:28" ht="9.75" customHeight="1">
      <c r="A42" s="474"/>
      <c r="B42" s="352" t="s">
        <v>1029</v>
      </c>
      <c r="C42" s="352"/>
      <c r="D42" s="352"/>
      <c r="E42" s="343" t="s">
        <v>1030</v>
      </c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474" t="s">
        <v>1031</v>
      </c>
      <c r="S42" s="477"/>
      <c r="T42" s="477"/>
      <c r="U42" s="477"/>
      <c r="V42" s="477"/>
      <c r="W42" s="477"/>
      <c r="X42" s="477"/>
      <c r="Y42" s="477"/>
      <c r="Z42" s="477"/>
      <c r="AA42" s="476"/>
      <c r="AB42" s="476"/>
    </row>
    <row r="43" spans="1:28" ht="9.75" customHeight="1">
      <c r="A43" s="474"/>
      <c r="B43" s="352" t="s">
        <v>1032</v>
      </c>
      <c r="C43" s="352"/>
      <c r="D43" s="352"/>
      <c r="E43" s="343" t="s">
        <v>1033</v>
      </c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474" t="s">
        <v>1034</v>
      </c>
      <c r="S43" s="477"/>
      <c r="T43" s="477"/>
      <c r="U43" s="477"/>
      <c r="V43" s="477"/>
      <c r="W43" s="477"/>
      <c r="X43" s="477"/>
      <c r="Y43" s="477"/>
      <c r="Z43" s="477"/>
      <c r="AA43" s="476"/>
      <c r="AB43" s="476"/>
    </row>
    <row r="44" spans="1:28" ht="9.75" customHeight="1">
      <c r="A44" s="474"/>
      <c r="B44" s="352" t="s">
        <v>1035</v>
      </c>
      <c r="C44" s="352"/>
      <c r="D44" s="352"/>
      <c r="E44" s="343" t="s">
        <v>1036</v>
      </c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474" t="s">
        <v>1037</v>
      </c>
      <c r="S44" s="477"/>
      <c r="T44" s="477"/>
      <c r="U44" s="477"/>
      <c r="V44" s="477"/>
      <c r="W44" s="477"/>
      <c r="X44" s="477"/>
      <c r="Y44" s="477"/>
      <c r="Z44" s="477"/>
      <c r="AA44" s="476"/>
      <c r="AB44" s="476"/>
    </row>
    <row r="45" spans="1:28" ht="9.75" customHeight="1">
      <c r="A45" s="474"/>
      <c r="B45" s="352" t="s">
        <v>1038</v>
      </c>
      <c r="C45" s="352"/>
      <c r="D45" s="352"/>
      <c r="E45" s="343" t="s">
        <v>1039</v>
      </c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474" t="s">
        <v>1040</v>
      </c>
      <c r="S45" s="477"/>
      <c r="T45" s="477"/>
      <c r="U45" s="477"/>
      <c r="V45" s="477"/>
      <c r="W45" s="477"/>
      <c r="X45" s="477"/>
      <c r="Y45" s="477"/>
      <c r="Z45" s="477"/>
      <c r="AA45" s="476"/>
      <c r="AB45" s="476"/>
    </row>
    <row r="46" spans="1:28" ht="9.75" customHeight="1">
      <c r="A46" s="474"/>
      <c r="B46" s="352" t="s">
        <v>1041</v>
      </c>
      <c r="C46" s="352"/>
      <c r="D46" s="352"/>
      <c r="E46" s="343" t="s">
        <v>1042</v>
      </c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474" t="s">
        <v>1043</v>
      </c>
      <c r="S46" s="477"/>
      <c r="T46" s="477"/>
      <c r="U46" s="477"/>
      <c r="V46" s="477"/>
      <c r="W46" s="477"/>
      <c r="X46" s="477"/>
      <c r="Y46" s="477"/>
      <c r="Z46" s="477"/>
      <c r="AA46" s="476"/>
      <c r="AB46" s="476"/>
    </row>
    <row r="47" spans="1:28" ht="9.75" customHeight="1">
      <c r="A47" s="474"/>
      <c r="B47" s="352" t="s">
        <v>1044</v>
      </c>
      <c r="C47" s="352"/>
      <c r="D47" s="352"/>
      <c r="E47" s="343" t="s">
        <v>1045</v>
      </c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474" t="s">
        <v>1046</v>
      </c>
      <c r="S47" s="477"/>
      <c r="T47" s="477"/>
      <c r="U47" s="477"/>
      <c r="V47" s="477"/>
      <c r="W47" s="477"/>
      <c r="X47" s="477"/>
      <c r="Y47" s="477"/>
      <c r="Z47" s="477"/>
      <c r="AA47" s="476"/>
      <c r="AB47" s="476"/>
    </row>
    <row r="48" spans="1:28" ht="9.75" customHeight="1">
      <c r="A48" s="474"/>
      <c r="B48" s="352" t="s">
        <v>1047</v>
      </c>
      <c r="C48" s="352"/>
      <c r="D48" s="352"/>
      <c r="E48" s="343" t="s">
        <v>1048</v>
      </c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474" t="s">
        <v>1049</v>
      </c>
      <c r="S48" s="477">
        <v>522218</v>
      </c>
      <c r="T48" s="477"/>
      <c r="U48" s="477"/>
      <c r="V48" s="477"/>
      <c r="W48" s="477"/>
      <c r="X48" s="477"/>
      <c r="Y48" s="477"/>
      <c r="Z48" s="477"/>
      <c r="AA48" s="476"/>
      <c r="AB48" s="476"/>
    </row>
    <row r="49" spans="1:28" ht="9.75" customHeight="1">
      <c r="A49" s="474"/>
      <c r="B49" s="352" t="s">
        <v>1050</v>
      </c>
      <c r="C49" s="352"/>
      <c r="D49" s="352"/>
      <c r="E49" s="343" t="s">
        <v>1051</v>
      </c>
      <c r="F49" s="343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474" t="s">
        <v>1052</v>
      </c>
      <c r="S49" s="477">
        <v>18087</v>
      </c>
      <c r="T49" s="477"/>
      <c r="U49" s="477"/>
      <c r="V49" s="477"/>
      <c r="W49" s="477"/>
      <c r="X49" s="477"/>
      <c r="Y49" s="477"/>
      <c r="Z49" s="477"/>
      <c r="AA49" s="476"/>
      <c r="AB49" s="476"/>
    </row>
    <row r="50" spans="1:28" s="488" customFormat="1" ht="4.5" customHeight="1" thickBot="1">
      <c r="A50" s="487"/>
      <c r="B50" s="487"/>
      <c r="C50" s="487"/>
      <c r="D50" s="487"/>
      <c r="E50" s="487"/>
      <c r="F50" s="487"/>
      <c r="G50" s="487"/>
      <c r="H50" s="487"/>
      <c r="J50" s="489"/>
      <c r="L50" s="490"/>
      <c r="M50" s="490"/>
      <c r="N50" s="490"/>
      <c r="O50" s="490"/>
      <c r="P50" s="490"/>
      <c r="Q50" s="490"/>
      <c r="R50" s="490"/>
      <c r="S50" s="490"/>
      <c r="T50" s="490"/>
      <c r="U50" s="490"/>
      <c r="V50" s="490"/>
      <c r="W50" s="490"/>
      <c r="X50" s="490"/>
      <c r="Y50" s="490"/>
      <c r="Z50" s="490"/>
      <c r="AA50" s="490"/>
      <c r="AB50" s="490"/>
    </row>
    <row r="51" spans="1:28" ht="13.5" thickBot="1">
      <c r="A51" s="470"/>
      <c r="B51" s="369" t="s">
        <v>1053</v>
      </c>
      <c r="C51" s="369"/>
      <c r="D51" s="470"/>
      <c r="E51" s="356" t="s">
        <v>1054</v>
      </c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471"/>
      <c r="S51" s="472"/>
      <c r="T51" s="472"/>
      <c r="U51" s="472"/>
      <c r="V51" s="472"/>
      <c r="W51" s="472"/>
      <c r="X51" s="472"/>
      <c r="Y51" s="472"/>
      <c r="Z51" s="472"/>
      <c r="AA51" s="473">
        <v>70274.41</v>
      </c>
      <c r="AB51" s="473"/>
    </row>
    <row r="52" spans="1:28" ht="9.75" customHeight="1">
      <c r="A52" s="474"/>
      <c r="B52" s="355" t="s">
        <v>1492</v>
      </c>
      <c r="C52" s="355"/>
      <c r="D52" s="355"/>
      <c r="E52" s="354" t="s">
        <v>1055</v>
      </c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474" t="s">
        <v>1056</v>
      </c>
      <c r="S52" s="475"/>
      <c r="T52" s="475"/>
      <c r="U52" s="475"/>
      <c r="V52" s="475"/>
      <c r="W52" s="475"/>
      <c r="X52" s="475"/>
      <c r="Y52" s="475"/>
      <c r="Z52" s="475"/>
      <c r="AA52" s="476"/>
      <c r="AB52" s="476"/>
    </row>
    <row r="53" spans="1:28" ht="9.75" customHeight="1">
      <c r="A53" s="474"/>
      <c r="B53" s="352" t="s">
        <v>1496</v>
      </c>
      <c r="C53" s="352"/>
      <c r="D53" s="352"/>
      <c r="E53" s="343" t="s">
        <v>1057</v>
      </c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474" t="s">
        <v>1058</v>
      </c>
      <c r="S53" s="477"/>
      <c r="T53" s="477"/>
      <c r="U53" s="477"/>
      <c r="V53" s="477"/>
      <c r="W53" s="477"/>
      <c r="X53" s="477"/>
      <c r="Y53" s="477"/>
      <c r="Z53" s="477"/>
      <c r="AA53" s="476"/>
      <c r="AB53" s="476"/>
    </row>
    <row r="54" spans="1:28" ht="9.75" customHeight="1">
      <c r="A54" s="474"/>
      <c r="B54" s="352" t="s">
        <v>1500</v>
      </c>
      <c r="C54" s="352"/>
      <c r="D54" s="352"/>
      <c r="E54" s="343" t="s">
        <v>1059</v>
      </c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474" t="s">
        <v>1060</v>
      </c>
      <c r="S54" s="477"/>
      <c r="T54" s="477"/>
      <c r="U54" s="477"/>
      <c r="V54" s="477"/>
      <c r="W54" s="477"/>
      <c r="X54" s="477"/>
      <c r="Y54" s="477"/>
      <c r="Z54" s="477"/>
      <c r="AA54" s="476"/>
      <c r="AB54" s="476"/>
    </row>
    <row r="55" spans="1:28" ht="9.75" customHeight="1">
      <c r="A55" s="474"/>
      <c r="B55" s="352" t="s">
        <v>1506</v>
      </c>
      <c r="C55" s="352"/>
      <c r="D55" s="352"/>
      <c r="E55" s="343" t="s">
        <v>1061</v>
      </c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474" t="s">
        <v>1062</v>
      </c>
      <c r="S55" s="477"/>
      <c r="T55" s="477"/>
      <c r="U55" s="477"/>
      <c r="V55" s="477"/>
      <c r="W55" s="477"/>
      <c r="X55" s="477"/>
      <c r="Y55" s="477"/>
      <c r="Z55" s="477"/>
      <c r="AA55" s="476"/>
      <c r="AB55" s="476"/>
    </row>
    <row r="56" spans="1:28" ht="9.75" customHeight="1">
      <c r="A56" s="474"/>
      <c r="B56" s="352" t="s">
        <v>1512</v>
      </c>
      <c r="C56" s="352"/>
      <c r="D56" s="352"/>
      <c r="E56" s="343" t="s">
        <v>1063</v>
      </c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474" t="s">
        <v>1064</v>
      </c>
      <c r="S56" s="477"/>
      <c r="T56" s="477"/>
      <c r="U56" s="477"/>
      <c r="V56" s="477"/>
      <c r="W56" s="477"/>
      <c r="X56" s="477"/>
      <c r="Y56" s="477"/>
      <c r="Z56" s="477"/>
      <c r="AA56" s="476">
        <v>70274.41</v>
      </c>
      <c r="AB56" s="476"/>
    </row>
    <row r="57" spans="1:28" s="488" customFormat="1" ht="4.5" customHeight="1" thickBot="1">
      <c r="A57" s="487"/>
      <c r="B57" s="487"/>
      <c r="C57" s="487"/>
      <c r="D57" s="487"/>
      <c r="E57" s="487"/>
      <c r="F57" s="487"/>
      <c r="G57" s="487"/>
      <c r="H57" s="487"/>
      <c r="J57" s="489"/>
      <c r="L57" s="490"/>
      <c r="M57" s="490"/>
      <c r="N57" s="490"/>
      <c r="O57" s="490"/>
      <c r="P57" s="490"/>
      <c r="Q57" s="490"/>
      <c r="R57" s="490"/>
      <c r="S57" s="490"/>
      <c r="T57" s="490"/>
      <c r="U57" s="490"/>
      <c r="V57" s="490"/>
      <c r="W57" s="490"/>
      <c r="X57" s="490"/>
      <c r="Y57" s="490"/>
      <c r="Z57" s="490"/>
      <c r="AA57" s="490"/>
      <c r="AB57" s="490"/>
    </row>
    <row r="58" spans="1:28" ht="9.75" customHeight="1" thickBot="1">
      <c r="A58" s="350" t="s">
        <v>956</v>
      </c>
      <c r="B58" s="350"/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1" t="s">
        <v>957</v>
      </c>
      <c r="R58" s="451"/>
      <c r="S58" s="452" t="s">
        <v>958</v>
      </c>
      <c r="T58" s="453"/>
      <c r="U58" s="453"/>
      <c r="V58" s="453"/>
      <c r="W58" s="453"/>
      <c r="X58" s="453"/>
      <c r="Y58" s="453"/>
      <c r="Z58" s="454"/>
      <c r="AA58" s="452" t="s">
        <v>959</v>
      </c>
      <c r="AB58" s="453"/>
    </row>
    <row r="59" spans="1:28" ht="9.75" customHeight="1">
      <c r="A59" s="455" t="s">
        <v>960</v>
      </c>
      <c r="B59" s="455"/>
      <c r="C59" s="455"/>
      <c r="D59" s="455"/>
      <c r="E59" s="455" t="s">
        <v>2124</v>
      </c>
      <c r="F59" s="455"/>
      <c r="G59" s="455"/>
      <c r="H59" s="455"/>
      <c r="I59" s="455"/>
      <c r="J59" s="455"/>
      <c r="K59" s="455"/>
      <c r="L59" s="455"/>
      <c r="M59" s="455"/>
      <c r="N59" s="455"/>
      <c r="O59" s="455"/>
      <c r="P59" s="455"/>
      <c r="Q59" s="456" t="s">
        <v>961</v>
      </c>
      <c r="R59" s="457"/>
      <c r="S59" s="458" t="s">
        <v>1339</v>
      </c>
      <c r="T59" s="351"/>
      <c r="U59" s="351"/>
      <c r="V59" s="351"/>
      <c r="W59" s="351" t="s">
        <v>962</v>
      </c>
      <c r="X59" s="351"/>
      <c r="Y59" s="351"/>
      <c r="Z59" s="451"/>
      <c r="AA59" s="459" t="s">
        <v>1339</v>
      </c>
      <c r="AB59" s="459" t="s">
        <v>962</v>
      </c>
    </row>
    <row r="60" spans="1:28" ht="9.75" customHeight="1" thickBot="1">
      <c r="A60" s="460"/>
      <c r="B60" s="460"/>
      <c r="C60" s="460"/>
      <c r="D60" s="460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461"/>
      <c r="R60" s="462"/>
      <c r="S60" s="463" t="s">
        <v>1659</v>
      </c>
      <c r="T60" s="464"/>
      <c r="U60" s="464"/>
      <c r="V60" s="464"/>
      <c r="W60" s="461" t="s">
        <v>1729</v>
      </c>
      <c r="X60" s="461"/>
      <c r="Y60" s="461"/>
      <c r="Z60" s="462"/>
      <c r="AA60" s="465" t="s">
        <v>2336</v>
      </c>
      <c r="AB60" s="466" t="s">
        <v>1785</v>
      </c>
    </row>
    <row r="61" spans="1:28" ht="13.5" thickBot="1">
      <c r="A61" s="470"/>
      <c r="B61" s="369" t="s">
        <v>1065</v>
      </c>
      <c r="C61" s="369"/>
      <c r="D61" s="470"/>
      <c r="E61" s="356" t="s">
        <v>1066</v>
      </c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6"/>
      <c r="R61" s="471"/>
      <c r="S61" s="472"/>
      <c r="T61" s="472"/>
      <c r="U61" s="472"/>
      <c r="V61" s="472"/>
      <c r="W61" s="472"/>
      <c r="X61" s="472"/>
      <c r="Y61" s="472"/>
      <c r="Z61" s="472"/>
      <c r="AA61" s="473"/>
      <c r="AB61" s="473"/>
    </row>
    <row r="62" spans="1:28" ht="12.75">
      <c r="A62" s="474"/>
      <c r="B62" s="355" t="s">
        <v>1492</v>
      </c>
      <c r="C62" s="355"/>
      <c r="D62" s="355"/>
      <c r="E62" s="354" t="s">
        <v>1067</v>
      </c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474" t="s">
        <v>1068</v>
      </c>
      <c r="S62" s="475"/>
      <c r="T62" s="475"/>
      <c r="U62" s="475"/>
      <c r="V62" s="475"/>
      <c r="W62" s="475"/>
      <c r="X62" s="475"/>
      <c r="Y62" s="475"/>
      <c r="Z62" s="475"/>
      <c r="AA62" s="476"/>
      <c r="AB62" s="476"/>
    </row>
    <row r="63" spans="1:28" ht="12.75">
      <c r="A63" s="474"/>
      <c r="B63" s="352" t="s">
        <v>1496</v>
      </c>
      <c r="C63" s="352"/>
      <c r="D63" s="352"/>
      <c r="E63" s="343" t="s">
        <v>1069</v>
      </c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474" t="s">
        <v>1070</v>
      </c>
      <c r="S63" s="477"/>
      <c r="T63" s="477"/>
      <c r="U63" s="477"/>
      <c r="V63" s="477"/>
      <c r="W63" s="477"/>
      <c r="X63" s="477"/>
      <c r="Y63" s="477"/>
      <c r="Z63" s="477"/>
      <c r="AA63" s="476"/>
      <c r="AB63" s="476"/>
    </row>
    <row r="64" spans="1:28" s="488" customFormat="1" ht="4.5" customHeight="1" thickBot="1">
      <c r="A64" s="487"/>
      <c r="B64" s="487"/>
      <c r="C64" s="487"/>
      <c r="D64" s="487"/>
      <c r="E64" s="487"/>
      <c r="F64" s="487"/>
      <c r="G64" s="487"/>
      <c r="H64" s="487"/>
      <c r="J64" s="489"/>
      <c r="L64" s="490"/>
      <c r="M64" s="490"/>
      <c r="N64" s="490"/>
      <c r="O64" s="490"/>
      <c r="P64" s="490"/>
      <c r="Q64" s="490"/>
      <c r="R64" s="490"/>
      <c r="S64" s="490"/>
      <c r="T64" s="490"/>
      <c r="U64" s="490"/>
      <c r="V64" s="490"/>
      <c r="W64" s="490"/>
      <c r="X64" s="490"/>
      <c r="Y64" s="490"/>
      <c r="Z64" s="490"/>
      <c r="AA64" s="490"/>
      <c r="AB64" s="490"/>
    </row>
    <row r="65" spans="1:28" ht="13.5" thickBot="1">
      <c r="A65" s="470"/>
      <c r="B65" s="369" t="s">
        <v>1071</v>
      </c>
      <c r="C65" s="369"/>
      <c r="D65" s="470"/>
      <c r="E65" s="356" t="s">
        <v>1072</v>
      </c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356"/>
      <c r="Q65" s="356"/>
      <c r="R65" s="471"/>
      <c r="S65" s="472"/>
      <c r="T65" s="472"/>
      <c r="U65" s="472"/>
      <c r="V65" s="472"/>
      <c r="W65" s="472"/>
      <c r="X65" s="472"/>
      <c r="Y65" s="472"/>
      <c r="Z65" s="472"/>
      <c r="AA65" s="473"/>
      <c r="AB65" s="473"/>
    </row>
    <row r="66" spans="1:28" ht="12.75">
      <c r="A66" s="474"/>
      <c r="B66" s="355" t="s">
        <v>1492</v>
      </c>
      <c r="C66" s="355"/>
      <c r="D66" s="355"/>
      <c r="E66" s="354" t="s">
        <v>1072</v>
      </c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474" t="s">
        <v>1073</v>
      </c>
      <c r="S66" s="475"/>
      <c r="T66" s="475"/>
      <c r="U66" s="475"/>
      <c r="V66" s="475"/>
      <c r="W66" s="475"/>
      <c r="X66" s="475"/>
      <c r="Y66" s="475"/>
      <c r="Z66" s="475"/>
      <c r="AA66" s="476"/>
      <c r="AB66" s="476"/>
    </row>
    <row r="67" spans="1:28" ht="13.5" thickBot="1">
      <c r="A67" s="474"/>
      <c r="B67" s="353" t="s">
        <v>1496</v>
      </c>
      <c r="C67" s="353"/>
      <c r="D67" s="353"/>
      <c r="E67" s="345" t="s">
        <v>1074</v>
      </c>
      <c r="F67" s="345"/>
      <c r="G67" s="345"/>
      <c r="H67" s="345"/>
      <c r="I67" s="345"/>
      <c r="J67" s="345"/>
      <c r="K67" s="345"/>
      <c r="L67" s="345"/>
      <c r="M67" s="345"/>
      <c r="N67" s="345"/>
      <c r="O67" s="345"/>
      <c r="P67" s="345"/>
      <c r="Q67" s="345"/>
      <c r="R67" s="474" t="s">
        <v>1075</v>
      </c>
      <c r="S67" s="479"/>
      <c r="T67" s="479"/>
      <c r="U67" s="479"/>
      <c r="V67" s="479"/>
      <c r="W67" s="479"/>
      <c r="X67" s="479"/>
      <c r="Y67" s="479"/>
      <c r="Z67" s="479"/>
      <c r="AA67" s="476"/>
      <c r="AB67" s="476"/>
    </row>
    <row r="68" spans="1:28" ht="13.5" thickBot="1">
      <c r="A68" s="363" t="s">
        <v>1076</v>
      </c>
      <c r="B68" s="363"/>
      <c r="C68" s="363"/>
      <c r="D68" s="363"/>
      <c r="E68" s="363" t="s">
        <v>1077</v>
      </c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467"/>
      <c r="S68" s="468">
        <v>17100412.7</v>
      </c>
      <c r="T68" s="468"/>
      <c r="U68" s="468"/>
      <c r="V68" s="468"/>
      <c r="W68" s="468">
        <v>451205</v>
      </c>
      <c r="X68" s="468"/>
      <c r="Y68" s="468"/>
      <c r="Z68" s="468"/>
      <c r="AA68" s="469">
        <v>15676132.36</v>
      </c>
      <c r="AB68" s="469">
        <v>17730</v>
      </c>
    </row>
    <row r="69" spans="1:28" s="488" customFormat="1" ht="4.5" customHeight="1" thickBot="1">
      <c r="A69" s="487"/>
      <c r="B69" s="487"/>
      <c r="C69" s="487"/>
      <c r="D69" s="487"/>
      <c r="E69" s="487"/>
      <c r="F69" s="487"/>
      <c r="G69" s="487"/>
      <c r="H69" s="487"/>
      <c r="J69" s="489"/>
      <c r="L69" s="490"/>
      <c r="M69" s="490"/>
      <c r="N69" s="490"/>
      <c r="O69" s="490"/>
      <c r="P69" s="490"/>
      <c r="Q69" s="490"/>
      <c r="R69" s="490"/>
      <c r="S69" s="490"/>
      <c r="T69" s="490"/>
      <c r="U69" s="490"/>
      <c r="V69" s="490"/>
      <c r="W69" s="490"/>
      <c r="X69" s="490"/>
      <c r="Y69" s="490"/>
      <c r="Z69" s="490"/>
      <c r="AA69" s="490"/>
      <c r="AB69" s="490"/>
    </row>
    <row r="70" spans="1:28" ht="13.5" thickBot="1">
      <c r="A70" s="470"/>
      <c r="B70" s="369" t="s">
        <v>965</v>
      </c>
      <c r="C70" s="369"/>
      <c r="D70" s="470"/>
      <c r="E70" s="356" t="s">
        <v>1078</v>
      </c>
      <c r="F70" s="356"/>
      <c r="G70" s="356"/>
      <c r="H70" s="356"/>
      <c r="I70" s="356"/>
      <c r="J70" s="356"/>
      <c r="K70" s="356"/>
      <c r="L70" s="356"/>
      <c r="M70" s="356"/>
      <c r="N70" s="356"/>
      <c r="O70" s="356"/>
      <c r="P70" s="356"/>
      <c r="Q70" s="356"/>
      <c r="R70" s="471"/>
      <c r="S70" s="472">
        <v>2677361</v>
      </c>
      <c r="T70" s="472"/>
      <c r="U70" s="472"/>
      <c r="V70" s="472"/>
      <c r="W70" s="472">
        <v>451205</v>
      </c>
      <c r="X70" s="472"/>
      <c r="Y70" s="472"/>
      <c r="Z70" s="472"/>
      <c r="AA70" s="473">
        <v>2464746.7</v>
      </c>
      <c r="AB70" s="473">
        <v>17730</v>
      </c>
    </row>
    <row r="71" spans="1:28" ht="12.75">
      <c r="A71" s="474"/>
      <c r="B71" s="355" t="s">
        <v>1492</v>
      </c>
      <c r="C71" s="355"/>
      <c r="D71" s="355"/>
      <c r="E71" s="354" t="s">
        <v>1079</v>
      </c>
      <c r="F71" s="354"/>
      <c r="G71" s="354"/>
      <c r="H71" s="354"/>
      <c r="I71" s="354"/>
      <c r="J71" s="354"/>
      <c r="K71" s="354"/>
      <c r="L71" s="354"/>
      <c r="M71" s="354"/>
      <c r="N71" s="354"/>
      <c r="O71" s="354"/>
      <c r="P71" s="354"/>
      <c r="Q71" s="354"/>
      <c r="R71" s="474" t="s">
        <v>1080</v>
      </c>
      <c r="S71" s="475"/>
      <c r="T71" s="475"/>
      <c r="U71" s="475"/>
      <c r="V71" s="475"/>
      <c r="W71" s="475"/>
      <c r="X71" s="475"/>
      <c r="Y71" s="475"/>
      <c r="Z71" s="475"/>
      <c r="AA71" s="476"/>
      <c r="AB71" s="476"/>
    </row>
    <row r="72" spans="1:28" ht="12.75">
      <c r="A72" s="474"/>
      <c r="B72" s="352" t="s">
        <v>1496</v>
      </c>
      <c r="C72" s="352"/>
      <c r="D72" s="352"/>
      <c r="E72" s="343" t="s">
        <v>1081</v>
      </c>
      <c r="F72" s="343"/>
      <c r="G72" s="343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474" t="s">
        <v>1082</v>
      </c>
      <c r="S72" s="477">
        <v>2656610</v>
      </c>
      <c r="T72" s="477"/>
      <c r="U72" s="477"/>
      <c r="V72" s="477"/>
      <c r="W72" s="477">
        <v>436305</v>
      </c>
      <c r="X72" s="477"/>
      <c r="Y72" s="477"/>
      <c r="Z72" s="477"/>
      <c r="AA72" s="476">
        <v>2462248</v>
      </c>
      <c r="AB72" s="476">
        <v>2580</v>
      </c>
    </row>
    <row r="73" spans="1:28" ht="12.75">
      <c r="A73" s="474"/>
      <c r="B73" s="352" t="s">
        <v>1500</v>
      </c>
      <c r="C73" s="352"/>
      <c r="D73" s="352"/>
      <c r="E73" s="343" t="s">
        <v>1083</v>
      </c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474" t="s">
        <v>1084</v>
      </c>
      <c r="S73" s="477"/>
      <c r="T73" s="477"/>
      <c r="U73" s="477"/>
      <c r="V73" s="477"/>
      <c r="W73" s="477">
        <v>14900</v>
      </c>
      <c r="X73" s="477"/>
      <c r="Y73" s="477"/>
      <c r="Z73" s="477"/>
      <c r="AA73" s="476"/>
      <c r="AB73" s="476">
        <v>15150</v>
      </c>
    </row>
    <row r="74" spans="1:28" ht="12.75">
      <c r="A74" s="474"/>
      <c r="B74" s="352" t="s">
        <v>1506</v>
      </c>
      <c r="C74" s="352"/>
      <c r="D74" s="352"/>
      <c r="E74" s="343" t="s">
        <v>1085</v>
      </c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474" t="s">
        <v>1086</v>
      </c>
      <c r="S74" s="477"/>
      <c r="T74" s="477"/>
      <c r="U74" s="477"/>
      <c r="V74" s="477"/>
      <c r="W74" s="477"/>
      <c r="X74" s="477"/>
      <c r="Y74" s="477"/>
      <c r="Z74" s="477"/>
      <c r="AA74" s="476"/>
      <c r="AB74" s="476"/>
    </row>
    <row r="75" spans="1:28" ht="12.75">
      <c r="A75" s="474"/>
      <c r="B75" s="352" t="s">
        <v>1527</v>
      </c>
      <c r="C75" s="352"/>
      <c r="D75" s="352"/>
      <c r="E75" s="343" t="s">
        <v>1087</v>
      </c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474" t="s">
        <v>1088</v>
      </c>
      <c r="S75" s="477"/>
      <c r="T75" s="477"/>
      <c r="U75" s="477"/>
      <c r="V75" s="477"/>
      <c r="W75" s="477"/>
      <c r="X75" s="477"/>
      <c r="Y75" s="477"/>
      <c r="Z75" s="477"/>
      <c r="AA75" s="476"/>
      <c r="AB75" s="476"/>
    </row>
    <row r="76" spans="1:28" ht="12.75">
      <c r="A76" s="474"/>
      <c r="B76" s="352" t="s">
        <v>1529</v>
      </c>
      <c r="C76" s="352"/>
      <c r="D76" s="352"/>
      <c r="E76" s="343" t="s">
        <v>1011</v>
      </c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474" t="s">
        <v>1089</v>
      </c>
      <c r="S76" s="477"/>
      <c r="T76" s="477"/>
      <c r="U76" s="477"/>
      <c r="V76" s="477"/>
      <c r="W76" s="477"/>
      <c r="X76" s="477"/>
      <c r="Y76" s="477"/>
      <c r="Z76" s="477"/>
      <c r="AA76" s="476"/>
      <c r="AB76" s="476"/>
    </row>
    <row r="77" spans="1:28" ht="12.75">
      <c r="A77" s="474"/>
      <c r="B77" s="352" t="s">
        <v>1531</v>
      </c>
      <c r="C77" s="352"/>
      <c r="D77" s="352"/>
      <c r="E77" s="343" t="s">
        <v>1013</v>
      </c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474" t="s">
        <v>1090</v>
      </c>
      <c r="S77" s="477"/>
      <c r="T77" s="477"/>
      <c r="U77" s="477"/>
      <c r="V77" s="477"/>
      <c r="W77" s="477"/>
      <c r="X77" s="477"/>
      <c r="Y77" s="477"/>
      <c r="Z77" s="477"/>
      <c r="AA77" s="476"/>
      <c r="AB77" s="476"/>
    </row>
    <row r="78" spans="1:28" ht="12.75">
      <c r="A78" s="474"/>
      <c r="B78" s="352" t="s">
        <v>982</v>
      </c>
      <c r="C78" s="352"/>
      <c r="D78" s="352"/>
      <c r="E78" s="343" t="s">
        <v>1091</v>
      </c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474" t="s">
        <v>1092</v>
      </c>
      <c r="S78" s="477"/>
      <c r="T78" s="477"/>
      <c r="U78" s="477"/>
      <c r="V78" s="477"/>
      <c r="W78" s="477"/>
      <c r="X78" s="477"/>
      <c r="Y78" s="477"/>
      <c r="Z78" s="477"/>
      <c r="AA78" s="476"/>
      <c r="AB78" s="476"/>
    </row>
    <row r="79" spans="1:28" ht="12.75">
      <c r="A79" s="474"/>
      <c r="B79" s="352" t="s">
        <v>984</v>
      </c>
      <c r="C79" s="352"/>
      <c r="D79" s="352"/>
      <c r="E79" s="343" t="s">
        <v>1093</v>
      </c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474" t="s">
        <v>1094</v>
      </c>
      <c r="S79" s="477"/>
      <c r="T79" s="477"/>
      <c r="U79" s="477"/>
      <c r="V79" s="477"/>
      <c r="W79" s="477"/>
      <c r="X79" s="477"/>
      <c r="Y79" s="477"/>
      <c r="Z79" s="477"/>
      <c r="AA79" s="476"/>
      <c r="AB79" s="476"/>
    </row>
    <row r="80" spans="1:28" ht="12.75">
      <c r="A80" s="474"/>
      <c r="B80" s="352" t="s">
        <v>987</v>
      </c>
      <c r="C80" s="352"/>
      <c r="D80" s="352"/>
      <c r="E80" s="343" t="s">
        <v>1095</v>
      </c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474" t="s">
        <v>1096</v>
      </c>
      <c r="S80" s="477"/>
      <c r="T80" s="477"/>
      <c r="U80" s="477"/>
      <c r="V80" s="477"/>
      <c r="W80" s="477"/>
      <c r="X80" s="477"/>
      <c r="Y80" s="477"/>
      <c r="Z80" s="477"/>
      <c r="AA80" s="476"/>
      <c r="AB80" s="476"/>
    </row>
    <row r="81" spans="1:28" ht="12.75">
      <c r="A81" s="474"/>
      <c r="B81" s="352" t="s">
        <v>990</v>
      </c>
      <c r="C81" s="352"/>
      <c r="D81" s="352"/>
      <c r="E81" s="343" t="s">
        <v>1097</v>
      </c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474" t="s">
        <v>1098</v>
      </c>
      <c r="S81" s="477"/>
      <c r="T81" s="477"/>
      <c r="U81" s="477"/>
      <c r="V81" s="477"/>
      <c r="W81" s="477"/>
      <c r="X81" s="477"/>
      <c r="Y81" s="477"/>
      <c r="Z81" s="477"/>
      <c r="AA81" s="476"/>
      <c r="AB81" s="476"/>
    </row>
    <row r="82" spans="1:28" ht="12.75">
      <c r="A82" s="474"/>
      <c r="B82" s="352" t="s">
        <v>993</v>
      </c>
      <c r="C82" s="352"/>
      <c r="D82" s="352"/>
      <c r="E82" s="343" t="s">
        <v>1099</v>
      </c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474" t="s">
        <v>1100</v>
      </c>
      <c r="S82" s="477"/>
      <c r="T82" s="477"/>
      <c r="U82" s="477"/>
      <c r="V82" s="477"/>
      <c r="W82" s="477"/>
      <c r="X82" s="477"/>
      <c r="Y82" s="477"/>
      <c r="Z82" s="477"/>
      <c r="AA82" s="476"/>
      <c r="AB82" s="476"/>
    </row>
    <row r="83" spans="1:28" ht="12.75">
      <c r="A83" s="474"/>
      <c r="B83" s="352" t="s">
        <v>996</v>
      </c>
      <c r="C83" s="352"/>
      <c r="D83" s="352"/>
      <c r="E83" s="343" t="s">
        <v>1101</v>
      </c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474" t="s">
        <v>1102</v>
      </c>
      <c r="S83" s="477">
        <v>1764</v>
      </c>
      <c r="T83" s="477"/>
      <c r="U83" s="477"/>
      <c r="V83" s="477"/>
      <c r="W83" s="477"/>
      <c r="X83" s="477"/>
      <c r="Y83" s="477"/>
      <c r="Z83" s="477"/>
      <c r="AA83" s="476">
        <v>60.7</v>
      </c>
      <c r="AB83" s="476"/>
    </row>
    <row r="84" spans="1:28" ht="12.75">
      <c r="A84" s="474"/>
      <c r="B84" s="352" t="s">
        <v>999</v>
      </c>
      <c r="C84" s="352"/>
      <c r="D84" s="352"/>
      <c r="E84" s="343" t="s">
        <v>1103</v>
      </c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474" t="s">
        <v>1104</v>
      </c>
      <c r="S84" s="477">
        <v>18987</v>
      </c>
      <c r="T84" s="477"/>
      <c r="U84" s="477"/>
      <c r="V84" s="477"/>
      <c r="W84" s="477"/>
      <c r="X84" s="477"/>
      <c r="Y84" s="477"/>
      <c r="Z84" s="477"/>
      <c r="AA84" s="476">
        <v>2438</v>
      </c>
      <c r="AB84" s="476"/>
    </row>
    <row r="85" spans="1:28" ht="13.5" thickBot="1">
      <c r="A85" s="491"/>
      <c r="B85" s="491"/>
      <c r="C85" s="491"/>
      <c r="D85" s="491"/>
      <c r="E85" s="491"/>
      <c r="F85" s="491"/>
      <c r="G85" s="491"/>
      <c r="H85" s="491"/>
      <c r="I85" s="491"/>
      <c r="J85" s="491"/>
      <c r="K85" s="491"/>
      <c r="L85" s="491"/>
      <c r="M85" s="491"/>
      <c r="N85" s="491"/>
      <c r="O85" s="491"/>
      <c r="P85" s="491"/>
      <c r="Q85" s="491"/>
      <c r="R85" s="491"/>
      <c r="S85" s="491"/>
      <c r="T85" s="491"/>
      <c r="U85" s="491"/>
      <c r="V85" s="491"/>
      <c r="W85" s="491"/>
      <c r="X85" s="491"/>
      <c r="Y85" s="491"/>
      <c r="Z85" s="491"/>
      <c r="AA85" s="491"/>
      <c r="AB85" s="491"/>
    </row>
    <row r="86" spans="1:28" ht="13.5" thickBot="1">
      <c r="A86" s="470"/>
      <c r="B86" s="369" t="s">
        <v>1053</v>
      </c>
      <c r="C86" s="369"/>
      <c r="D86" s="470"/>
      <c r="E86" s="356" t="s">
        <v>1105</v>
      </c>
      <c r="F86" s="356"/>
      <c r="G86" s="356"/>
      <c r="H86" s="356"/>
      <c r="I86" s="356"/>
      <c r="J86" s="356"/>
      <c r="K86" s="356"/>
      <c r="L86" s="356"/>
      <c r="M86" s="356"/>
      <c r="N86" s="356"/>
      <c r="O86" s="356"/>
      <c r="P86" s="356"/>
      <c r="Q86" s="356"/>
      <c r="R86" s="471"/>
      <c r="S86" s="472">
        <v>14276.22</v>
      </c>
      <c r="T86" s="472"/>
      <c r="U86" s="472"/>
      <c r="V86" s="472"/>
      <c r="W86" s="472"/>
      <c r="X86" s="472"/>
      <c r="Y86" s="472"/>
      <c r="Z86" s="472"/>
      <c r="AA86" s="473">
        <v>12827.92</v>
      </c>
      <c r="AB86" s="473"/>
    </row>
    <row r="87" spans="1:28" ht="12.75">
      <c r="A87" s="474"/>
      <c r="B87" s="355" t="s">
        <v>1492</v>
      </c>
      <c r="C87" s="355"/>
      <c r="D87" s="355"/>
      <c r="E87" s="354" t="s">
        <v>1106</v>
      </c>
      <c r="F87" s="354"/>
      <c r="G87" s="354"/>
      <c r="H87" s="354"/>
      <c r="I87" s="354"/>
      <c r="J87" s="354"/>
      <c r="K87" s="354"/>
      <c r="L87" s="354"/>
      <c r="M87" s="354"/>
      <c r="N87" s="354"/>
      <c r="O87" s="354"/>
      <c r="P87" s="354"/>
      <c r="Q87" s="354"/>
      <c r="R87" s="474" t="s">
        <v>1107</v>
      </c>
      <c r="S87" s="475"/>
      <c r="T87" s="475"/>
      <c r="U87" s="475"/>
      <c r="V87" s="475"/>
      <c r="W87" s="475"/>
      <c r="X87" s="475"/>
      <c r="Y87" s="475"/>
      <c r="Z87" s="475"/>
      <c r="AA87" s="476"/>
      <c r="AB87" s="476"/>
    </row>
    <row r="88" spans="1:28" ht="12.75">
      <c r="A88" s="474"/>
      <c r="B88" s="352" t="s">
        <v>1496</v>
      </c>
      <c r="C88" s="352"/>
      <c r="D88" s="352"/>
      <c r="E88" s="343" t="s">
        <v>1057</v>
      </c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474" t="s">
        <v>1108</v>
      </c>
      <c r="S88" s="477">
        <v>14276.22</v>
      </c>
      <c r="T88" s="477"/>
      <c r="U88" s="477"/>
      <c r="V88" s="477"/>
      <c r="W88" s="477"/>
      <c r="X88" s="477"/>
      <c r="Y88" s="477"/>
      <c r="Z88" s="477"/>
      <c r="AA88" s="476">
        <v>12827.92</v>
      </c>
      <c r="AB88" s="476"/>
    </row>
    <row r="89" spans="1:28" ht="12.75">
      <c r="A89" s="474"/>
      <c r="B89" s="352" t="s">
        <v>1500</v>
      </c>
      <c r="C89" s="352"/>
      <c r="D89" s="352"/>
      <c r="E89" s="343" t="s">
        <v>1109</v>
      </c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474" t="s">
        <v>1110</v>
      </c>
      <c r="S89" s="477"/>
      <c r="T89" s="477"/>
      <c r="U89" s="477"/>
      <c r="V89" s="477"/>
      <c r="W89" s="477"/>
      <c r="X89" s="477"/>
      <c r="Y89" s="477"/>
      <c r="Z89" s="477"/>
      <c r="AA89" s="476"/>
      <c r="AB89" s="476"/>
    </row>
    <row r="90" spans="1:28" ht="12.75">
      <c r="A90" s="474"/>
      <c r="B90" s="352" t="s">
        <v>1506</v>
      </c>
      <c r="C90" s="352"/>
      <c r="D90" s="352"/>
      <c r="E90" s="343" t="s">
        <v>1111</v>
      </c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474" t="s">
        <v>1112</v>
      </c>
      <c r="S90" s="477"/>
      <c r="T90" s="477"/>
      <c r="U90" s="477"/>
      <c r="V90" s="477"/>
      <c r="W90" s="477"/>
      <c r="X90" s="477"/>
      <c r="Y90" s="477"/>
      <c r="Z90" s="477"/>
      <c r="AA90" s="476"/>
      <c r="AB90" s="476"/>
    </row>
    <row r="91" spans="1:28" ht="12.75">
      <c r="A91" s="474"/>
      <c r="B91" s="352" t="s">
        <v>1515</v>
      </c>
      <c r="C91" s="352"/>
      <c r="D91" s="352"/>
      <c r="E91" s="343" t="s">
        <v>1113</v>
      </c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474" t="s">
        <v>1114</v>
      </c>
      <c r="S91" s="477"/>
      <c r="T91" s="477"/>
      <c r="U91" s="477"/>
      <c r="V91" s="477"/>
      <c r="W91" s="477"/>
      <c r="X91" s="477"/>
      <c r="Y91" s="477"/>
      <c r="Z91" s="477"/>
      <c r="AA91" s="476"/>
      <c r="AB91" s="476"/>
    </row>
    <row r="92" spans="1:28" ht="13.5" thickBot="1">
      <c r="A92" s="491"/>
      <c r="B92" s="491"/>
      <c r="C92" s="491"/>
      <c r="D92" s="491"/>
      <c r="E92" s="491"/>
      <c r="F92" s="491"/>
      <c r="G92" s="491"/>
      <c r="H92" s="491"/>
      <c r="I92" s="491"/>
      <c r="J92" s="491"/>
      <c r="K92" s="491"/>
      <c r="L92" s="491"/>
      <c r="M92" s="491"/>
      <c r="N92" s="491"/>
      <c r="O92" s="491"/>
      <c r="P92" s="491"/>
      <c r="Q92" s="491"/>
      <c r="R92" s="491"/>
      <c r="S92" s="491"/>
      <c r="T92" s="491"/>
      <c r="U92" s="491"/>
      <c r="V92" s="491"/>
      <c r="W92" s="491"/>
      <c r="X92" s="491"/>
      <c r="Y92" s="491"/>
      <c r="Z92" s="491"/>
      <c r="AA92" s="491"/>
      <c r="AB92" s="491"/>
    </row>
    <row r="93" spans="1:28" ht="13.5" thickBot="1">
      <c r="A93" s="470"/>
      <c r="B93" s="369" t="s">
        <v>1115</v>
      </c>
      <c r="C93" s="369"/>
      <c r="D93" s="470"/>
      <c r="E93" s="356" t="s">
        <v>1116</v>
      </c>
      <c r="F93" s="356"/>
      <c r="G93" s="356"/>
      <c r="H93" s="356"/>
      <c r="I93" s="356"/>
      <c r="J93" s="356"/>
      <c r="K93" s="356"/>
      <c r="L93" s="356"/>
      <c r="M93" s="356"/>
      <c r="N93" s="356"/>
      <c r="O93" s="356"/>
      <c r="P93" s="356"/>
      <c r="Q93" s="356"/>
      <c r="R93" s="471"/>
      <c r="S93" s="472">
        <v>14408775.48</v>
      </c>
      <c r="T93" s="472"/>
      <c r="U93" s="472"/>
      <c r="V93" s="472"/>
      <c r="W93" s="472"/>
      <c r="X93" s="472"/>
      <c r="Y93" s="472"/>
      <c r="Z93" s="472"/>
      <c r="AA93" s="473">
        <v>13198557.74</v>
      </c>
      <c r="AB93" s="473"/>
    </row>
    <row r="94" spans="1:28" ht="12.75">
      <c r="A94" s="474"/>
      <c r="B94" s="355" t="s">
        <v>1492</v>
      </c>
      <c r="C94" s="355"/>
      <c r="D94" s="355"/>
      <c r="E94" s="354" t="s">
        <v>1117</v>
      </c>
      <c r="F94" s="354"/>
      <c r="G94" s="354"/>
      <c r="H94" s="354"/>
      <c r="I94" s="354"/>
      <c r="J94" s="354"/>
      <c r="K94" s="354"/>
      <c r="L94" s="354"/>
      <c r="M94" s="354"/>
      <c r="N94" s="354"/>
      <c r="O94" s="354"/>
      <c r="P94" s="354"/>
      <c r="Q94" s="354"/>
      <c r="R94" s="474" t="s">
        <v>1118</v>
      </c>
      <c r="S94" s="475"/>
      <c r="T94" s="475"/>
      <c r="U94" s="475"/>
      <c r="V94" s="475"/>
      <c r="W94" s="475"/>
      <c r="X94" s="475"/>
      <c r="Y94" s="475"/>
      <c r="Z94" s="475"/>
      <c r="AA94" s="476"/>
      <c r="AB94" s="476"/>
    </row>
    <row r="95" spans="1:28" ht="12.75">
      <c r="A95" s="474"/>
      <c r="B95" s="352" t="s">
        <v>1496</v>
      </c>
      <c r="C95" s="352"/>
      <c r="D95" s="352"/>
      <c r="E95" s="343" t="s">
        <v>1119</v>
      </c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474" t="s">
        <v>1120</v>
      </c>
      <c r="S95" s="477">
        <v>14408775.48</v>
      </c>
      <c r="T95" s="477"/>
      <c r="U95" s="477"/>
      <c r="V95" s="477"/>
      <c r="W95" s="477"/>
      <c r="X95" s="477"/>
      <c r="Y95" s="477"/>
      <c r="Z95" s="477"/>
      <c r="AA95" s="476">
        <v>13198557.74</v>
      </c>
      <c r="AB95" s="476"/>
    </row>
    <row r="96" spans="1:28" ht="13.5" thickBot="1">
      <c r="A96" s="491"/>
      <c r="B96" s="491"/>
      <c r="C96" s="491"/>
      <c r="D96" s="491"/>
      <c r="E96" s="491"/>
      <c r="F96" s="491"/>
      <c r="G96" s="491"/>
      <c r="H96" s="491"/>
      <c r="I96" s="491"/>
      <c r="J96" s="491"/>
      <c r="K96" s="491"/>
      <c r="L96" s="491"/>
      <c r="M96" s="491"/>
      <c r="N96" s="491"/>
      <c r="O96" s="491"/>
      <c r="P96" s="491"/>
      <c r="Q96" s="491"/>
      <c r="R96" s="491"/>
      <c r="S96" s="491"/>
      <c r="T96" s="491"/>
      <c r="U96" s="491"/>
      <c r="V96" s="491"/>
      <c r="W96" s="491"/>
      <c r="X96" s="491"/>
      <c r="Y96" s="491"/>
      <c r="Z96" s="491"/>
      <c r="AA96" s="491"/>
      <c r="AB96" s="491"/>
    </row>
    <row r="97" spans="1:28" ht="13.5" thickBot="1">
      <c r="A97" s="470"/>
      <c r="B97" s="369" t="s">
        <v>1121</v>
      </c>
      <c r="C97" s="369"/>
      <c r="D97" s="470"/>
      <c r="E97" s="356" t="s">
        <v>1122</v>
      </c>
      <c r="F97" s="356"/>
      <c r="G97" s="356"/>
      <c r="H97" s="356"/>
      <c r="I97" s="356"/>
      <c r="J97" s="356"/>
      <c r="K97" s="356"/>
      <c r="L97" s="356"/>
      <c r="M97" s="356"/>
      <c r="N97" s="356"/>
      <c r="O97" s="356"/>
      <c r="P97" s="356"/>
      <c r="Q97" s="356"/>
      <c r="R97" s="471"/>
      <c r="S97" s="472"/>
      <c r="T97" s="472"/>
      <c r="U97" s="472"/>
      <c r="V97" s="472"/>
      <c r="W97" s="472"/>
      <c r="X97" s="472"/>
      <c r="Y97" s="472"/>
      <c r="Z97" s="472"/>
      <c r="AA97" s="473"/>
      <c r="AB97" s="473"/>
    </row>
    <row r="98" spans="1:28" ht="12.75">
      <c r="A98" s="474"/>
      <c r="B98" s="355" t="s">
        <v>1492</v>
      </c>
      <c r="C98" s="355"/>
      <c r="D98" s="355"/>
      <c r="E98" s="354" t="s">
        <v>1123</v>
      </c>
      <c r="F98" s="354"/>
      <c r="G98" s="354"/>
      <c r="H98" s="354"/>
      <c r="I98" s="354"/>
      <c r="J98" s="354"/>
      <c r="K98" s="354"/>
      <c r="L98" s="354"/>
      <c r="M98" s="354"/>
      <c r="N98" s="354"/>
      <c r="O98" s="354"/>
      <c r="P98" s="354"/>
      <c r="Q98" s="354"/>
      <c r="R98" s="474"/>
      <c r="S98" s="475"/>
      <c r="T98" s="475"/>
      <c r="U98" s="475"/>
      <c r="V98" s="475"/>
      <c r="W98" s="475">
        <v>47122</v>
      </c>
      <c r="X98" s="475"/>
      <c r="Y98" s="475"/>
      <c r="Z98" s="475"/>
      <c r="AA98" s="476"/>
      <c r="AB98" s="476">
        <v>16698</v>
      </c>
    </row>
    <row r="99" spans="1:28" ht="12.75">
      <c r="A99" s="474"/>
      <c r="B99" s="352" t="s">
        <v>1496</v>
      </c>
      <c r="C99" s="352"/>
      <c r="D99" s="352"/>
      <c r="E99" s="343" t="s">
        <v>1124</v>
      </c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474"/>
      <c r="S99" s="477"/>
      <c r="T99" s="477"/>
      <c r="U99" s="477"/>
      <c r="V99" s="477"/>
      <c r="W99" s="477">
        <v>47122</v>
      </c>
      <c r="X99" s="477"/>
      <c r="Y99" s="477"/>
      <c r="Z99" s="477"/>
      <c r="AA99" s="476"/>
      <c r="AB99" s="476">
        <v>16698</v>
      </c>
    </row>
    <row r="100" spans="1:28" ht="13.5" thickBot="1">
      <c r="A100" s="481" t="s">
        <v>1125</v>
      </c>
      <c r="B100" s="481"/>
      <c r="C100" s="481"/>
      <c r="D100" s="481"/>
      <c r="E100" s="481"/>
      <c r="F100" s="481"/>
      <c r="G100" s="481"/>
      <c r="H100" s="481"/>
      <c r="I100" s="481"/>
      <c r="J100" s="481"/>
      <c r="K100" s="481"/>
      <c r="L100" s="481"/>
      <c r="M100" s="481"/>
      <c r="N100" s="481"/>
      <c r="O100" s="481"/>
      <c r="P100" s="481"/>
      <c r="Q100" s="481"/>
      <c r="R100" s="481"/>
      <c r="S100" s="481"/>
      <c r="T100" s="481"/>
      <c r="U100" s="481"/>
      <c r="V100" s="481"/>
      <c r="W100" s="481"/>
      <c r="X100" s="481"/>
      <c r="Y100" s="481"/>
      <c r="Z100" s="481"/>
      <c r="AA100" s="481"/>
      <c r="AB100" s="481"/>
    </row>
    <row r="101" spans="1:28" ht="12.75">
      <c r="A101" s="447" t="s">
        <v>1132</v>
      </c>
      <c r="B101" s="447"/>
      <c r="C101" s="447"/>
      <c r="D101" s="447"/>
      <c r="E101" s="447"/>
      <c r="F101" s="447"/>
      <c r="G101" s="447"/>
      <c r="H101" s="447"/>
      <c r="I101" s="447"/>
      <c r="J101" s="447"/>
      <c r="K101" s="447"/>
      <c r="L101" s="447"/>
      <c r="M101" s="448" t="s">
        <v>1127</v>
      </c>
      <c r="N101" s="448"/>
      <c r="O101" s="448"/>
      <c r="P101" s="448"/>
      <c r="Q101" s="448"/>
      <c r="R101" s="448"/>
      <c r="S101" s="448"/>
      <c r="T101" s="448"/>
      <c r="U101" s="448"/>
      <c r="V101" s="448"/>
      <c r="W101" s="448"/>
      <c r="X101" s="448"/>
      <c r="Y101" s="449" t="s">
        <v>945</v>
      </c>
      <c r="Z101" s="449"/>
      <c r="AA101" s="449"/>
      <c r="AB101" s="449"/>
    </row>
  </sheetData>
  <mergeCells count="364">
    <mergeCell ref="A100:AB100"/>
    <mergeCell ref="A101:L101"/>
    <mergeCell ref="M101:X101"/>
    <mergeCell ref="Y101:AB101"/>
    <mergeCell ref="B99:D99"/>
    <mergeCell ref="E99:Q99"/>
    <mergeCell ref="S99:V99"/>
    <mergeCell ref="W99:Z99"/>
    <mergeCell ref="B98:D98"/>
    <mergeCell ref="E98:Q98"/>
    <mergeCell ref="S98:V98"/>
    <mergeCell ref="W98:Z98"/>
    <mergeCell ref="A96:AB96"/>
    <mergeCell ref="B97:C97"/>
    <mergeCell ref="E97:Q97"/>
    <mergeCell ref="S97:V97"/>
    <mergeCell ref="W97:Z97"/>
    <mergeCell ref="B95:D95"/>
    <mergeCell ref="E95:Q95"/>
    <mergeCell ref="S95:V95"/>
    <mergeCell ref="W95:Z95"/>
    <mergeCell ref="B94:D94"/>
    <mergeCell ref="E94:Q94"/>
    <mergeCell ref="S94:V94"/>
    <mergeCell ref="W94:Z94"/>
    <mergeCell ref="A92:AB92"/>
    <mergeCell ref="B93:C93"/>
    <mergeCell ref="E93:Q93"/>
    <mergeCell ref="S93:V93"/>
    <mergeCell ref="W93:Z93"/>
    <mergeCell ref="B91:D91"/>
    <mergeCell ref="E91:Q91"/>
    <mergeCell ref="S91:V91"/>
    <mergeCell ref="W91:Z91"/>
    <mergeCell ref="B90:D90"/>
    <mergeCell ref="E90:Q90"/>
    <mergeCell ref="S90:V90"/>
    <mergeCell ref="W90:Z90"/>
    <mergeCell ref="B89:D89"/>
    <mergeCell ref="E89:Q89"/>
    <mergeCell ref="S89:V89"/>
    <mergeCell ref="W89:Z89"/>
    <mergeCell ref="B88:D88"/>
    <mergeCell ref="E88:Q88"/>
    <mergeCell ref="S88:V88"/>
    <mergeCell ref="W88:Z88"/>
    <mergeCell ref="B87:D87"/>
    <mergeCell ref="E87:Q87"/>
    <mergeCell ref="S87:V87"/>
    <mergeCell ref="W87:Z87"/>
    <mergeCell ref="A85:AB85"/>
    <mergeCell ref="B86:C86"/>
    <mergeCell ref="E86:Q86"/>
    <mergeCell ref="S86:V86"/>
    <mergeCell ref="W86:Z86"/>
    <mergeCell ref="B84:D84"/>
    <mergeCell ref="E84:Q84"/>
    <mergeCell ref="S84:V84"/>
    <mergeCell ref="W84:Z84"/>
    <mergeCell ref="B83:D83"/>
    <mergeCell ref="E83:Q83"/>
    <mergeCell ref="S83:V83"/>
    <mergeCell ref="W83:Z83"/>
    <mergeCell ref="B82:D82"/>
    <mergeCell ref="E82:Q82"/>
    <mergeCell ref="S82:V82"/>
    <mergeCell ref="W82:Z82"/>
    <mergeCell ref="B81:D81"/>
    <mergeCell ref="E81:Q81"/>
    <mergeCell ref="S81:V81"/>
    <mergeCell ref="W81:Z81"/>
    <mergeCell ref="B80:D80"/>
    <mergeCell ref="E80:Q80"/>
    <mergeCell ref="S80:V80"/>
    <mergeCell ref="W80:Z80"/>
    <mergeCell ref="B79:D79"/>
    <mergeCell ref="E79:Q79"/>
    <mergeCell ref="S79:V79"/>
    <mergeCell ref="W79:Z79"/>
    <mergeCell ref="B78:D78"/>
    <mergeCell ref="E78:Q78"/>
    <mergeCell ref="S78:V78"/>
    <mergeCell ref="W78:Z78"/>
    <mergeCell ref="B77:D77"/>
    <mergeCell ref="E77:Q77"/>
    <mergeCell ref="S77:V77"/>
    <mergeCell ref="W77:Z77"/>
    <mergeCell ref="B76:D76"/>
    <mergeCell ref="E76:Q76"/>
    <mergeCell ref="S76:V76"/>
    <mergeCell ref="W76:Z76"/>
    <mergeCell ref="B75:D75"/>
    <mergeCell ref="E75:Q75"/>
    <mergeCell ref="S75:V75"/>
    <mergeCell ref="W75:Z75"/>
    <mergeCell ref="B74:D74"/>
    <mergeCell ref="E74:Q74"/>
    <mergeCell ref="S74:V74"/>
    <mergeCell ref="W74:Z74"/>
    <mergeCell ref="B73:D73"/>
    <mergeCell ref="E73:Q73"/>
    <mergeCell ref="S73:V73"/>
    <mergeCell ref="W73:Z73"/>
    <mergeCell ref="B72:D72"/>
    <mergeCell ref="E72:Q72"/>
    <mergeCell ref="S72:V72"/>
    <mergeCell ref="W72:Z72"/>
    <mergeCell ref="B71:D71"/>
    <mergeCell ref="E71:Q71"/>
    <mergeCell ref="S71:V71"/>
    <mergeCell ref="W71:Z71"/>
    <mergeCell ref="W68:Z68"/>
    <mergeCell ref="A69:H69"/>
    <mergeCell ref="B70:C70"/>
    <mergeCell ref="E70:Q70"/>
    <mergeCell ref="S70:V70"/>
    <mergeCell ref="W70:Z70"/>
    <mergeCell ref="A68:B68"/>
    <mergeCell ref="C68:D68"/>
    <mergeCell ref="E68:Q68"/>
    <mergeCell ref="S68:V68"/>
    <mergeCell ref="B67:D67"/>
    <mergeCell ref="E67:Q67"/>
    <mergeCell ref="S67:V67"/>
    <mergeCell ref="W67:Z67"/>
    <mergeCell ref="W65:Z65"/>
    <mergeCell ref="B66:D66"/>
    <mergeCell ref="E66:Q66"/>
    <mergeCell ref="S66:V66"/>
    <mergeCell ref="W66:Z66"/>
    <mergeCell ref="A64:H64"/>
    <mergeCell ref="B65:C65"/>
    <mergeCell ref="E65:Q65"/>
    <mergeCell ref="S65:V65"/>
    <mergeCell ref="B63:D63"/>
    <mergeCell ref="E63:Q63"/>
    <mergeCell ref="S63:V63"/>
    <mergeCell ref="W63:Z63"/>
    <mergeCell ref="B62:D62"/>
    <mergeCell ref="E62:Q62"/>
    <mergeCell ref="S62:V62"/>
    <mergeCell ref="W62:Z62"/>
    <mergeCell ref="W60:Z60"/>
    <mergeCell ref="B61:C61"/>
    <mergeCell ref="E61:Q61"/>
    <mergeCell ref="S61:V61"/>
    <mergeCell ref="W61:Z61"/>
    <mergeCell ref="A60:D60"/>
    <mergeCell ref="E60:P60"/>
    <mergeCell ref="Q60:R60"/>
    <mergeCell ref="S60:V60"/>
    <mergeCell ref="S58:Z58"/>
    <mergeCell ref="AA58:AB58"/>
    <mergeCell ref="A59:D59"/>
    <mergeCell ref="E59:P59"/>
    <mergeCell ref="Q59:R59"/>
    <mergeCell ref="S59:V59"/>
    <mergeCell ref="W59:Z59"/>
    <mergeCell ref="A57:H57"/>
    <mergeCell ref="A58:D58"/>
    <mergeCell ref="E58:P58"/>
    <mergeCell ref="Q58:R58"/>
    <mergeCell ref="B56:D56"/>
    <mergeCell ref="E56:Q56"/>
    <mergeCell ref="S56:V56"/>
    <mergeCell ref="W56:Z56"/>
    <mergeCell ref="B55:D55"/>
    <mergeCell ref="E55:Q55"/>
    <mergeCell ref="S55:V55"/>
    <mergeCell ref="W55:Z55"/>
    <mergeCell ref="B54:D54"/>
    <mergeCell ref="E54:Q54"/>
    <mergeCell ref="S54:V54"/>
    <mergeCell ref="W54:Z54"/>
    <mergeCell ref="B53:D53"/>
    <mergeCell ref="E53:Q53"/>
    <mergeCell ref="S53:V53"/>
    <mergeCell ref="W53:Z53"/>
    <mergeCell ref="W51:Z51"/>
    <mergeCell ref="B52:D52"/>
    <mergeCell ref="E52:Q52"/>
    <mergeCell ref="S52:V52"/>
    <mergeCell ref="W52:Z52"/>
    <mergeCell ref="A50:H50"/>
    <mergeCell ref="B51:C51"/>
    <mergeCell ref="E51:Q51"/>
    <mergeCell ref="S51:V51"/>
    <mergeCell ref="B49:D49"/>
    <mergeCell ref="E49:Q49"/>
    <mergeCell ref="S49:V49"/>
    <mergeCell ref="W49:Z49"/>
    <mergeCell ref="B48:D48"/>
    <mergeCell ref="E48:Q48"/>
    <mergeCell ref="S48:V48"/>
    <mergeCell ref="W48:Z48"/>
    <mergeCell ref="B47:D47"/>
    <mergeCell ref="E47:Q47"/>
    <mergeCell ref="S47:V47"/>
    <mergeCell ref="W47:Z47"/>
    <mergeCell ref="B46:D46"/>
    <mergeCell ref="E46:Q46"/>
    <mergeCell ref="S46:V46"/>
    <mergeCell ref="W46:Z46"/>
    <mergeCell ref="B45:D45"/>
    <mergeCell ref="E45:Q45"/>
    <mergeCell ref="S45:V45"/>
    <mergeCell ref="W45:Z45"/>
    <mergeCell ref="B44:D44"/>
    <mergeCell ref="E44:Q44"/>
    <mergeCell ref="S44:V44"/>
    <mergeCell ref="W44:Z44"/>
    <mergeCell ref="B43:D43"/>
    <mergeCell ref="E43:Q43"/>
    <mergeCell ref="S43:V43"/>
    <mergeCell ref="W43:Z43"/>
    <mergeCell ref="B42:D42"/>
    <mergeCell ref="E42:Q42"/>
    <mergeCell ref="S42:V42"/>
    <mergeCell ref="W42:Z42"/>
    <mergeCell ref="B41:D41"/>
    <mergeCell ref="E41:Q41"/>
    <mergeCell ref="S41:V41"/>
    <mergeCell ref="W41:Z41"/>
    <mergeCell ref="B40:D40"/>
    <mergeCell ref="E40:Q40"/>
    <mergeCell ref="S40:V40"/>
    <mergeCell ref="W40:Z40"/>
    <mergeCell ref="B39:D39"/>
    <mergeCell ref="E39:Q39"/>
    <mergeCell ref="S39:V39"/>
    <mergeCell ref="W39:Z39"/>
    <mergeCell ref="B38:D38"/>
    <mergeCell ref="E38:Q38"/>
    <mergeCell ref="S38:V38"/>
    <mergeCell ref="W38:Z38"/>
    <mergeCell ref="B37:D37"/>
    <mergeCell ref="E37:Q37"/>
    <mergeCell ref="S37:V37"/>
    <mergeCell ref="W37:Z37"/>
    <mergeCell ref="B36:D36"/>
    <mergeCell ref="E36:Q36"/>
    <mergeCell ref="S36:V36"/>
    <mergeCell ref="W36:Z36"/>
    <mergeCell ref="B35:D35"/>
    <mergeCell ref="E35:Q35"/>
    <mergeCell ref="S35:V35"/>
    <mergeCell ref="W35:Z35"/>
    <mergeCell ref="B34:D34"/>
    <mergeCell ref="E34:Q34"/>
    <mergeCell ref="S34:V34"/>
    <mergeCell ref="W34:Z34"/>
    <mergeCell ref="B33:D33"/>
    <mergeCell ref="E33:Q33"/>
    <mergeCell ref="S33:V33"/>
    <mergeCell ref="W33:Z33"/>
    <mergeCell ref="B32:D32"/>
    <mergeCell ref="E32:Q32"/>
    <mergeCell ref="S32:V32"/>
    <mergeCell ref="W32:Z32"/>
    <mergeCell ref="B31:D31"/>
    <mergeCell ref="E31:Q31"/>
    <mergeCell ref="S31:V31"/>
    <mergeCell ref="W31:Z31"/>
    <mergeCell ref="B30:D30"/>
    <mergeCell ref="E30:Q30"/>
    <mergeCell ref="S30:V30"/>
    <mergeCell ref="W30:Z30"/>
    <mergeCell ref="B29:D29"/>
    <mergeCell ref="E29:Q29"/>
    <mergeCell ref="S29:V29"/>
    <mergeCell ref="W29:Z29"/>
    <mergeCell ref="B28:D28"/>
    <mergeCell ref="E28:Q28"/>
    <mergeCell ref="S28:V28"/>
    <mergeCell ref="W28:Z28"/>
    <mergeCell ref="B27:D27"/>
    <mergeCell ref="E27:Q27"/>
    <mergeCell ref="S27:V27"/>
    <mergeCell ref="W27:Z27"/>
    <mergeCell ref="B26:D26"/>
    <mergeCell ref="E26:Q26"/>
    <mergeCell ref="S26:V26"/>
    <mergeCell ref="W26:Z26"/>
    <mergeCell ref="B25:D25"/>
    <mergeCell ref="E25:Q25"/>
    <mergeCell ref="S25:V25"/>
    <mergeCell ref="W25:Z25"/>
    <mergeCell ref="B24:D24"/>
    <mergeCell ref="E24:Q24"/>
    <mergeCell ref="S24:V24"/>
    <mergeCell ref="W24:Z24"/>
    <mergeCell ref="B23:D23"/>
    <mergeCell ref="E23:Q23"/>
    <mergeCell ref="S23:V23"/>
    <mergeCell ref="W23:Z23"/>
    <mergeCell ref="B22:D22"/>
    <mergeCell ref="E22:Q22"/>
    <mergeCell ref="S22:V22"/>
    <mergeCell ref="W22:Z22"/>
    <mergeCell ref="B21:D21"/>
    <mergeCell ref="E21:Q21"/>
    <mergeCell ref="S21:V21"/>
    <mergeCell ref="W21:Z21"/>
    <mergeCell ref="B20:D20"/>
    <mergeCell ref="E20:Q20"/>
    <mergeCell ref="S20:V20"/>
    <mergeCell ref="W20:Z20"/>
    <mergeCell ref="B19:D19"/>
    <mergeCell ref="E19:Q19"/>
    <mergeCell ref="S19:V19"/>
    <mergeCell ref="W19:Z19"/>
    <mergeCell ref="B18:D18"/>
    <mergeCell ref="E18:Q18"/>
    <mergeCell ref="S18:V18"/>
    <mergeCell ref="W18:Z18"/>
    <mergeCell ref="B17:D17"/>
    <mergeCell ref="E17:Q17"/>
    <mergeCell ref="S17:V17"/>
    <mergeCell ref="W17:Z17"/>
    <mergeCell ref="B16:D16"/>
    <mergeCell ref="E16:Q16"/>
    <mergeCell ref="S16:V16"/>
    <mergeCell ref="W16:Z16"/>
    <mergeCell ref="W14:Z14"/>
    <mergeCell ref="B15:D15"/>
    <mergeCell ref="E15:Q15"/>
    <mergeCell ref="S15:V15"/>
    <mergeCell ref="W15:Z15"/>
    <mergeCell ref="A13:H13"/>
    <mergeCell ref="B14:C14"/>
    <mergeCell ref="E14:Q14"/>
    <mergeCell ref="S14:V14"/>
    <mergeCell ref="W10:Z10"/>
    <mergeCell ref="A11:H11"/>
    <mergeCell ref="A12:B12"/>
    <mergeCell ref="C12:D12"/>
    <mergeCell ref="E12:Q12"/>
    <mergeCell ref="S12:V12"/>
    <mergeCell ref="W12:Z12"/>
    <mergeCell ref="A10:D10"/>
    <mergeCell ref="E10:P10"/>
    <mergeCell ref="Q10:R10"/>
    <mergeCell ref="S10:V10"/>
    <mergeCell ref="S8:Z8"/>
    <mergeCell ref="AA8:AB8"/>
    <mergeCell ref="A9:D9"/>
    <mergeCell ref="E9:P9"/>
    <mergeCell ref="Q9:R9"/>
    <mergeCell ref="S9:V9"/>
    <mergeCell ref="W9:Z9"/>
    <mergeCell ref="A7:H7"/>
    <mergeCell ref="A8:D8"/>
    <mergeCell ref="E8:P8"/>
    <mergeCell ref="Q8:R8"/>
    <mergeCell ref="A4:H4"/>
    <mergeCell ref="I4:AB4"/>
    <mergeCell ref="A5:H5"/>
    <mergeCell ref="A6:H6"/>
    <mergeCell ref="A1:H1"/>
    <mergeCell ref="A2:H2"/>
    <mergeCell ref="I2:AB2"/>
    <mergeCell ref="A3:B3"/>
    <mergeCell ref="C3:H3"/>
    <mergeCell ref="I3:AB3"/>
  </mergeCells>
  <printOptions/>
  <pageMargins left="0.3937007874015748" right="0.3937007874015748" top="0.5905511811023623" bottom="0.5905511811023623" header="0.31496062992125984" footer="0.31496062992125984"/>
  <pageSetup horizontalDpi="200" verticalDpi="2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02"/>
  <sheetViews>
    <sheetView workbookViewId="0" topLeftCell="A1">
      <selection activeCell="A1" sqref="A1:IV16384"/>
    </sheetView>
  </sheetViews>
  <sheetFormatPr defaultColWidth="9.140625" defaultRowHeight="12.75"/>
  <cols>
    <col min="1" max="4" width="1.57421875" style="0" customWidth="1"/>
    <col min="5" max="5" width="4.57421875" style="0" customWidth="1"/>
    <col min="6" max="7" width="7.421875" style="0" customWidth="1"/>
    <col min="8" max="8" width="1.57421875" style="0" customWidth="1"/>
    <col min="9" max="9" width="5.8515625" style="0" customWidth="1"/>
    <col min="10" max="10" width="4.57421875" style="0" customWidth="1"/>
    <col min="11" max="11" width="1.57421875" style="0" customWidth="1"/>
    <col min="12" max="12" width="5.8515625" style="0" customWidth="1"/>
    <col min="13" max="14" width="1.57421875" style="0" customWidth="1"/>
    <col min="15" max="15" width="7.421875" style="0" customWidth="1"/>
    <col min="16" max="16" width="9.00390625" style="0" customWidth="1"/>
    <col min="17" max="17" width="3.00390625" style="0" customWidth="1"/>
    <col min="18" max="18" width="4.57421875" style="0" customWidth="1"/>
    <col min="19" max="19" width="7.421875" style="0" customWidth="1"/>
    <col min="20" max="20" width="1.57421875" style="0" customWidth="1"/>
    <col min="21" max="21" width="9.00390625" style="0" customWidth="1"/>
    <col min="22" max="22" width="1.57421875" style="0" customWidth="1"/>
    <col min="23" max="23" width="9.00390625" style="0" customWidth="1"/>
    <col min="24" max="24" width="4.57421875" style="0" customWidth="1"/>
    <col min="25" max="25" width="1.57421875" style="0" customWidth="1"/>
    <col min="26" max="26" width="4.57421875" style="0" customWidth="1"/>
    <col min="27" max="28" width="19.421875" style="0" customWidth="1"/>
  </cols>
  <sheetData>
    <row r="1" spans="1:28" ht="13.5" customHeight="1" thickBot="1">
      <c r="A1" s="389" t="s">
        <v>946</v>
      </c>
      <c r="B1" s="389"/>
      <c r="C1" s="389"/>
      <c r="D1" s="389"/>
      <c r="E1" s="389"/>
      <c r="F1" s="389"/>
      <c r="G1" s="389"/>
      <c r="H1" s="389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3" t="s">
        <v>1133</v>
      </c>
    </row>
    <row r="2" spans="1:28" ht="20.25" customHeight="1">
      <c r="A2" s="343"/>
      <c r="B2" s="343"/>
      <c r="C2" s="343"/>
      <c r="D2" s="343"/>
      <c r="E2" s="343"/>
      <c r="F2" s="343"/>
      <c r="G2" s="343"/>
      <c r="H2" s="343"/>
      <c r="I2" s="341" t="s">
        <v>948</v>
      </c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</row>
    <row r="3" spans="1:28" ht="12.75">
      <c r="A3" s="343"/>
      <c r="B3" s="343"/>
      <c r="C3" s="392"/>
      <c r="D3" s="392"/>
      <c r="E3" s="392"/>
      <c r="F3" s="392"/>
      <c r="G3" s="392"/>
      <c r="H3" s="392"/>
      <c r="I3" s="348" t="s">
        <v>949</v>
      </c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</row>
    <row r="4" spans="1:28" ht="12.75">
      <c r="A4" s="343"/>
      <c r="B4" s="343"/>
      <c r="C4" s="343"/>
      <c r="D4" s="343"/>
      <c r="E4" s="343"/>
      <c r="F4" s="343"/>
      <c r="G4" s="343"/>
      <c r="H4" s="343"/>
      <c r="I4" s="343" t="s">
        <v>950</v>
      </c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</row>
    <row r="5" spans="1:28" ht="12.75" customHeight="1">
      <c r="A5" s="343"/>
      <c r="B5" s="343"/>
      <c r="C5" s="343"/>
      <c r="D5" s="343"/>
      <c r="E5" s="343"/>
      <c r="F5" s="343"/>
      <c r="G5" s="343"/>
      <c r="H5" s="343"/>
      <c r="I5" s="484" t="s">
        <v>951</v>
      </c>
      <c r="J5" s="484"/>
      <c r="K5" s="485" t="s">
        <v>952</v>
      </c>
      <c r="L5" s="485"/>
      <c r="M5" s="485"/>
      <c r="N5" s="485"/>
      <c r="O5" s="485"/>
      <c r="P5" s="485"/>
      <c r="Q5" s="485"/>
      <c r="R5" s="485"/>
      <c r="S5" s="485"/>
      <c r="T5" s="485"/>
      <c r="U5" s="486" t="s">
        <v>1543</v>
      </c>
      <c r="V5" s="485"/>
      <c r="W5" s="485" t="s">
        <v>1134</v>
      </c>
      <c r="X5" s="485"/>
      <c r="Y5" s="485"/>
      <c r="Z5" s="485"/>
      <c r="AA5" s="485"/>
      <c r="AB5" s="485"/>
    </row>
    <row r="6" spans="1:28" ht="12.75" customHeight="1">
      <c r="A6" s="343"/>
      <c r="B6" s="343"/>
      <c r="C6" s="343"/>
      <c r="D6" s="343"/>
      <c r="E6" s="343"/>
      <c r="F6" s="343"/>
      <c r="G6" s="343"/>
      <c r="H6" s="343"/>
      <c r="J6" s="486"/>
      <c r="L6" s="485"/>
      <c r="M6" s="485"/>
      <c r="N6" s="485"/>
      <c r="O6" s="485"/>
      <c r="P6" s="485"/>
      <c r="Q6" s="485"/>
      <c r="R6" s="485"/>
      <c r="S6" s="485"/>
      <c r="T6" s="485"/>
      <c r="U6" s="489" t="s">
        <v>954</v>
      </c>
      <c r="V6" s="485"/>
      <c r="W6" s="490" t="s">
        <v>1135</v>
      </c>
      <c r="X6" s="485"/>
      <c r="Y6" s="485"/>
      <c r="Z6" s="485"/>
      <c r="AA6" s="485"/>
      <c r="AB6" s="485"/>
    </row>
    <row r="7" spans="1:28" s="488" customFormat="1" ht="4.5" customHeight="1" thickBot="1">
      <c r="A7" s="492"/>
      <c r="B7" s="492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</row>
    <row r="8" spans="1:28" ht="9.75" customHeight="1" thickBot="1">
      <c r="A8" s="350" t="s">
        <v>956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1" t="s">
        <v>957</v>
      </c>
      <c r="R8" s="451"/>
      <c r="S8" s="452" t="s">
        <v>958</v>
      </c>
      <c r="T8" s="453"/>
      <c r="U8" s="453"/>
      <c r="V8" s="453"/>
      <c r="W8" s="453"/>
      <c r="X8" s="453"/>
      <c r="Y8" s="453"/>
      <c r="Z8" s="454"/>
      <c r="AA8" s="452" t="s">
        <v>959</v>
      </c>
      <c r="AB8" s="453"/>
    </row>
    <row r="9" spans="1:28" ht="9.75" customHeight="1">
      <c r="A9" s="455" t="s">
        <v>960</v>
      </c>
      <c r="B9" s="455"/>
      <c r="C9" s="455"/>
      <c r="D9" s="455"/>
      <c r="E9" s="455" t="s">
        <v>2124</v>
      </c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6" t="s">
        <v>961</v>
      </c>
      <c r="R9" s="457"/>
      <c r="S9" s="458" t="s">
        <v>1339</v>
      </c>
      <c r="T9" s="351"/>
      <c r="U9" s="351"/>
      <c r="V9" s="351"/>
      <c r="W9" s="351" t="s">
        <v>962</v>
      </c>
      <c r="X9" s="351"/>
      <c r="Y9" s="351"/>
      <c r="Z9" s="451"/>
      <c r="AA9" s="459" t="s">
        <v>1339</v>
      </c>
      <c r="AB9" s="459" t="s">
        <v>962</v>
      </c>
    </row>
    <row r="10" spans="1:28" ht="9.75" customHeight="1" thickBot="1">
      <c r="A10" s="460"/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1"/>
      <c r="R10" s="462"/>
      <c r="S10" s="463" t="s">
        <v>1659</v>
      </c>
      <c r="T10" s="464"/>
      <c r="U10" s="464"/>
      <c r="V10" s="464"/>
      <c r="W10" s="461" t="s">
        <v>1729</v>
      </c>
      <c r="X10" s="461"/>
      <c r="Y10" s="461"/>
      <c r="Z10" s="462"/>
      <c r="AA10" s="465" t="s">
        <v>2336</v>
      </c>
      <c r="AB10" s="466" t="s">
        <v>1785</v>
      </c>
    </row>
    <row r="11" spans="1:28" ht="13.5" thickBot="1">
      <c r="A11" s="363" t="s">
        <v>963</v>
      </c>
      <c r="B11" s="363"/>
      <c r="C11" s="363"/>
      <c r="D11" s="363"/>
      <c r="E11" s="363" t="s">
        <v>964</v>
      </c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467"/>
      <c r="S11" s="468">
        <v>6918767.66</v>
      </c>
      <c r="T11" s="468"/>
      <c r="U11" s="468"/>
      <c r="V11" s="468"/>
      <c r="W11" s="468">
        <v>863197.4</v>
      </c>
      <c r="X11" s="468"/>
      <c r="Y11" s="468"/>
      <c r="Z11" s="468"/>
      <c r="AA11" s="469">
        <v>6719343.53</v>
      </c>
      <c r="AB11" s="469">
        <v>864048.23</v>
      </c>
    </row>
    <row r="12" spans="1:28" ht="4.5" customHeight="1" thickBot="1">
      <c r="A12" s="493"/>
      <c r="B12" s="493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</row>
    <row r="13" spans="1:28" ht="13.5" thickBot="1">
      <c r="A13" s="470"/>
      <c r="B13" s="369" t="s">
        <v>965</v>
      </c>
      <c r="C13" s="369"/>
      <c r="D13" s="470"/>
      <c r="E13" s="356" t="s">
        <v>966</v>
      </c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471"/>
      <c r="S13" s="472">
        <v>6918767.66</v>
      </c>
      <c r="T13" s="472"/>
      <c r="U13" s="472"/>
      <c r="V13" s="472"/>
      <c r="W13" s="472">
        <v>863197.4</v>
      </c>
      <c r="X13" s="472"/>
      <c r="Y13" s="472"/>
      <c r="Z13" s="472"/>
      <c r="AA13" s="473">
        <v>6656705.53</v>
      </c>
      <c r="AB13" s="473">
        <v>864048.23</v>
      </c>
    </row>
    <row r="14" spans="1:28" ht="9.75" customHeight="1">
      <c r="A14" s="474"/>
      <c r="B14" s="355" t="s">
        <v>1492</v>
      </c>
      <c r="C14" s="355"/>
      <c r="D14" s="355"/>
      <c r="E14" s="354" t="s">
        <v>967</v>
      </c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474" t="s">
        <v>1809</v>
      </c>
      <c r="S14" s="475">
        <v>2840214.46</v>
      </c>
      <c r="T14" s="475"/>
      <c r="U14" s="475"/>
      <c r="V14" s="475"/>
      <c r="W14" s="475">
        <v>503425</v>
      </c>
      <c r="X14" s="475"/>
      <c r="Y14" s="475"/>
      <c r="Z14" s="475"/>
      <c r="AA14" s="476">
        <v>2741295</v>
      </c>
      <c r="AB14" s="476">
        <v>489900</v>
      </c>
    </row>
    <row r="15" spans="1:28" ht="9.75" customHeight="1">
      <c r="A15" s="474"/>
      <c r="B15" s="352" t="s">
        <v>1496</v>
      </c>
      <c r="C15" s="352"/>
      <c r="D15" s="352"/>
      <c r="E15" s="343" t="s">
        <v>968</v>
      </c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474" t="s">
        <v>1820</v>
      </c>
      <c r="S15" s="477">
        <v>376269.4</v>
      </c>
      <c r="T15" s="477"/>
      <c r="U15" s="477"/>
      <c r="V15" s="477"/>
      <c r="W15" s="477">
        <v>112392</v>
      </c>
      <c r="X15" s="477"/>
      <c r="Y15" s="477"/>
      <c r="Z15" s="477"/>
      <c r="AA15" s="476">
        <v>410979.75</v>
      </c>
      <c r="AB15" s="476">
        <v>122760</v>
      </c>
    </row>
    <row r="16" spans="1:28" ht="9.75" customHeight="1">
      <c r="A16" s="474"/>
      <c r="B16" s="352" t="s">
        <v>1500</v>
      </c>
      <c r="C16" s="352"/>
      <c r="D16" s="352"/>
      <c r="E16" s="343" t="s">
        <v>969</v>
      </c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474" t="s">
        <v>1840</v>
      </c>
      <c r="S16" s="477"/>
      <c r="T16" s="477"/>
      <c r="U16" s="477"/>
      <c r="V16" s="477"/>
      <c r="W16" s="477"/>
      <c r="X16" s="477"/>
      <c r="Y16" s="477"/>
      <c r="Z16" s="477"/>
      <c r="AA16" s="476"/>
      <c r="AB16" s="476"/>
    </row>
    <row r="17" spans="1:28" ht="9.75" customHeight="1">
      <c r="A17" s="474"/>
      <c r="B17" s="352" t="s">
        <v>1506</v>
      </c>
      <c r="C17" s="352"/>
      <c r="D17" s="352"/>
      <c r="E17" s="343" t="s">
        <v>970</v>
      </c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474" t="s">
        <v>971</v>
      </c>
      <c r="S17" s="477"/>
      <c r="T17" s="477"/>
      <c r="U17" s="477"/>
      <c r="V17" s="477"/>
      <c r="W17" s="477"/>
      <c r="X17" s="477"/>
      <c r="Y17" s="477"/>
      <c r="Z17" s="477"/>
      <c r="AA17" s="476"/>
      <c r="AB17" s="476"/>
    </row>
    <row r="18" spans="1:28" ht="9.75" customHeight="1">
      <c r="A18" s="474"/>
      <c r="B18" s="352" t="s">
        <v>1512</v>
      </c>
      <c r="C18" s="352"/>
      <c r="D18" s="352"/>
      <c r="E18" s="343" t="s">
        <v>972</v>
      </c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474" t="s">
        <v>973</v>
      </c>
      <c r="S18" s="477"/>
      <c r="T18" s="477"/>
      <c r="U18" s="477"/>
      <c r="V18" s="477"/>
      <c r="W18" s="477"/>
      <c r="X18" s="477"/>
      <c r="Y18" s="477"/>
      <c r="Z18" s="477"/>
      <c r="AA18" s="476"/>
      <c r="AB18" s="476"/>
    </row>
    <row r="19" spans="1:28" ht="9.75" customHeight="1">
      <c r="A19" s="474"/>
      <c r="B19" s="352" t="s">
        <v>1515</v>
      </c>
      <c r="C19" s="352"/>
      <c r="D19" s="352"/>
      <c r="E19" s="343" t="s">
        <v>974</v>
      </c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474" t="s">
        <v>975</v>
      </c>
      <c r="S19" s="477"/>
      <c r="T19" s="477"/>
      <c r="U19" s="477"/>
      <c r="V19" s="477"/>
      <c r="W19" s="477"/>
      <c r="X19" s="477"/>
      <c r="Y19" s="477"/>
      <c r="Z19" s="477"/>
      <c r="AA19" s="476"/>
      <c r="AB19" s="476"/>
    </row>
    <row r="20" spans="1:28" ht="9.75" customHeight="1">
      <c r="A20" s="474"/>
      <c r="B20" s="352" t="s">
        <v>1521</v>
      </c>
      <c r="C20" s="352"/>
      <c r="D20" s="352"/>
      <c r="E20" s="343" t="s">
        <v>976</v>
      </c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474" t="s">
        <v>977</v>
      </c>
      <c r="S20" s="477"/>
      <c r="T20" s="477"/>
      <c r="U20" s="477"/>
      <c r="V20" s="477"/>
      <c r="W20" s="477"/>
      <c r="X20" s="477"/>
      <c r="Y20" s="477"/>
      <c r="Z20" s="477"/>
      <c r="AA20" s="476"/>
      <c r="AB20" s="476"/>
    </row>
    <row r="21" spans="1:28" ht="9.75" customHeight="1">
      <c r="A21" s="474"/>
      <c r="B21" s="352" t="s">
        <v>1527</v>
      </c>
      <c r="C21" s="352"/>
      <c r="D21" s="352"/>
      <c r="E21" s="343" t="s">
        <v>1941</v>
      </c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474" t="s">
        <v>978</v>
      </c>
      <c r="S21" s="477">
        <v>361652.56</v>
      </c>
      <c r="T21" s="477"/>
      <c r="U21" s="477"/>
      <c r="V21" s="477"/>
      <c r="W21" s="477"/>
      <c r="X21" s="477"/>
      <c r="Y21" s="477"/>
      <c r="Z21" s="477"/>
      <c r="AA21" s="476">
        <v>154671.59</v>
      </c>
      <c r="AB21" s="476"/>
    </row>
    <row r="22" spans="1:28" ht="9.75" customHeight="1">
      <c r="A22" s="474"/>
      <c r="B22" s="352" t="s">
        <v>1529</v>
      </c>
      <c r="C22" s="352"/>
      <c r="D22" s="352"/>
      <c r="E22" s="343" t="s">
        <v>979</v>
      </c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474" t="s">
        <v>980</v>
      </c>
      <c r="S22" s="477">
        <v>1849</v>
      </c>
      <c r="T22" s="477"/>
      <c r="U22" s="477"/>
      <c r="V22" s="477"/>
      <c r="W22" s="477"/>
      <c r="X22" s="477"/>
      <c r="Y22" s="477"/>
      <c r="Z22" s="477"/>
      <c r="AA22" s="476">
        <v>2091.99</v>
      </c>
      <c r="AB22" s="476"/>
    </row>
    <row r="23" spans="1:28" ht="9.75" customHeight="1">
      <c r="A23" s="474"/>
      <c r="B23" s="352" t="s">
        <v>1531</v>
      </c>
      <c r="C23" s="352"/>
      <c r="D23" s="352"/>
      <c r="E23" s="343" t="s">
        <v>981</v>
      </c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474" t="s">
        <v>1870</v>
      </c>
      <c r="S23" s="477"/>
      <c r="T23" s="477"/>
      <c r="U23" s="477"/>
      <c r="V23" s="477"/>
      <c r="W23" s="477"/>
      <c r="X23" s="477"/>
      <c r="Y23" s="477"/>
      <c r="Z23" s="477"/>
      <c r="AA23" s="476"/>
      <c r="AB23" s="476"/>
    </row>
    <row r="24" spans="1:28" ht="9.75" customHeight="1">
      <c r="A24" s="474"/>
      <c r="B24" s="352" t="s">
        <v>982</v>
      </c>
      <c r="C24" s="352"/>
      <c r="D24" s="352"/>
      <c r="E24" s="343" t="s">
        <v>983</v>
      </c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474" t="s">
        <v>1935</v>
      </c>
      <c r="S24" s="477"/>
      <c r="T24" s="477"/>
      <c r="U24" s="477"/>
      <c r="V24" s="477"/>
      <c r="W24" s="477"/>
      <c r="X24" s="477"/>
      <c r="Y24" s="477"/>
      <c r="Z24" s="477"/>
      <c r="AA24" s="476"/>
      <c r="AB24" s="476"/>
    </row>
    <row r="25" spans="1:28" ht="9.75" customHeight="1">
      <c r="A25" s="474"/>
      <c r="B25" s="352" t="s">
        <v>984</v>
      </c>
      <c r="C25" s="352"/>
      <c r="D25" s="352"/>
      <c r="E25" s="343" t="s">
        <v>985</v>
      </c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474" t="s">
        <v>986</v>
      </c>
      <c r="S25" s="477">
        <v>389766.94</v>
      </c>
      <c r="T25" s="477"/>
      <c r="U25" s="477"/>
      <c r="V25" s="477"/>
      <c r="W25" s="477"/>
      <c r="X25" s="477"/>
      <c r="Y25" s="477"/>
      <c r="Z25" s="477"/>
      <c r="AA25" s="476">
        <v>303927.46</v>
      </c>
      <c r="AB25" s="476"/>
    </row>
    <row r="26" spans="1:28" ht="9.75" customHeight="1">
      <c r="A26" s="474"/>
      <c r="B26" s="352" t="s">
        <v>987</v>
      </c>
      <c r="C26" s="352"/>
      <c r="D26" s="352"/>
      <c r="E26" s="343" t="s">
        <v>988</v>
      </c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474" t="s">
        <v>989</v>
      </c>
      <c r="S26" s="477">
        <v>1870117</v>
      </c>
      <c r="T26" s="477"/>
      <c r="U26" s="477"/>
      <c r="V26" s="477"/>
      <c r="W26" s="477">
        <v>183240</v>
      </c>
      <c r="X26" s="477"/>
      <c r="Y26" s="477"/>
      <c r="Z26" s="477"/>
      <c r="AA26" s="476">
        <v>1821945</v>
      </c>
      <c r="AB26" s="476">
        <v>186211</v>
      </c>
    </row>
    <row r="27" spans="1:28" ht="9.75" customHeight="1">
      <c r="A27" s="474"/>
      <c r="B27" s="352" t="s">
        <v>990</v>
      </c>
      <c r="C27" s="352"/>
      <c r="D27" s="352"/>
      <c r="E27" s="343" t="s">
        <v>991</v>
      </c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474" t="s">
        <v>992</v>
      </c>
      <c r="S27" s="477">
        <v>632619</v>
      </c>
      <c r="T27" s="477"/>
      <c r="U27" s="477"/>
      <c r="V27" s="477"/>
      <c r="W27" s="477">
        <v>62308</v>
      </c>
      <c r="X27" s="477"/>
      <c r="Y27" s="477"/>
      <c r="Z27" s="477"/>
      <c r="AA27" s="476">
        <v>625215.88</v>
      </c>
      <c r="AB27" s="476">
        <v>63315.12</v>
      </c>
    </row>
    <row r="28" spans="1:28" ht="9.75" customHeight="1">
      <c r="A28" s="474"/>
      <c r="B28" s="352" t="s">
        <v>993</v>
      </c>
      <c r="C28" s="352"/>
      <c r="D28" s="352"/>
      <c r="E28" s="343" t="s">
        <v>994</v>
      </c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474" t="s">
        <v>995</v>
      </c>
      <c r="S28" s="477">
        <v>8496</v>
      </c>
      <c r="T28" s="477"/>
      <c r="U28" s="477"/>
      <c r="V28" s="477"/>
      <c r="W28" s="477"/>
      <c r="X28" s="477"/>
      <c r="Y28" s="477"/>
      <c r="Z28" s="477"/>
      <c r="AA28" s="476"/>
      <c r="AB28" s="476"/>
    </row>
    <row r="29" spans="1:28" ht="9.75" customHeight="1">
      <c r="A29" s="474"/>
      <c r="B29" s="352" t="s">
        <v>996</v>
      </c>
      <c r="C29" s="352"/>
      <c r="D29" s="352"/>
      <c r="E29" s="343" t="s">
        <v>997</v>
      </c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474" t="s">
        <v>998</v>
      </c>
      <c r="S29" s="477">
        <v>18701.17</v>
      </c>
      <c r="T29" s="477"/>
      <c r="U29" s="477"/>
      <c r="V29" s="477"/>
      <c r="W29" s="477">
        <v>1832.4</v>
      </c>
      <c r="X29" s="477"/>
      <c r="Y29" s="477"/>
      <c r="Z29" s="477"/>
      <c r="AA29" s="476">
        <v>18294.54</v>
      </c>
      <c r="AB29" s="476">
        <v>1862.11</v>
      </c>
    </row>
    <row r="30" spans="1:28" ht="9.75" customHeight="1">
      <c r="A30" s="474"/>
      <c r="B30" s="352" t="s">
        <v>999</v>
      </c>
      <c r="C30" s="352"/>
      <c r="D30" s="352"/>
      <c r="E30" s="343" t="s">
        <v>1000</v>
      </c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474" t="s">
        <v>1001</v>
      </c>
      <c r="S30" s="477"/>
      <c r="T30" s="477"/>
      <c r="U30" s="477"/>
      <c r="V30" s="477"/>
      <c r="W30" s="477"/>
      <c r="X30" s="477"/>
      <c r="Y30" s="477"/>
      <c r="Z30" s="477"/>
      <c r="AA30" s="476">
        <v>7509</v>
      </c>
      <c r="AB30" s="476"/>
    </row>
    <row r="31" spans="1:28" ht="9.75" customHeight="1">
      <c r="A31" s="474"/>
      <c r="B31" s="352" t="s">
        <v>1002</v>
      </c>
      <c r="C31" s="352"/>
      <c r="D31" s="352"/>
      <c r="E31" s="343" t="s">
        <v>1003</v>
      </c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474" t="s">
        <v>1004</v>
      </c>
      <c r="S31" s="477"/>
      <c r="T31" s="477"/>
      <c r="U31" s="477"/>
      <c r="V31" s="477"/>
      <c r="W31" s="477"/>
      <c r="X31" s="477"/>
      <c r="Y31" s="477"/>
      <c r="Z31" s="477"/>
      <c r="AA31" s="476"/>
      <c r="AB31" s="476"/>
    </row>
    <row r="32" spans="1:28" ht="9.75" customHeight="1">
      <c r="A32" s="474"/>
      <c r="B32" s="352" t="s">
        <v>1005</v>
      </c>
      <c r="C32" s="352"/>
      <c r="D32" s="352"/>
      <c r="E32" s="343" t="s">
        <v>1652</v>
      </c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474" t="s">
        <v>1006</v>
      </c>
      <c r="S32" s="477"/>
      <c r="T32" s="477"/>
      <c r="U32" s="477"/>
      <c r="V32" s="477"/>
      <c r="W32" s="477"/>
      <c r="X32" s="477"/>
      <c r="Y32" s="477"/>
      <c r="Z32" s="477"/>
      <c r="AA32" s="476"/>
      <c r="AB32" s="476"/>
    </row>
    <row r="33" spans="1:28" ht="9.75" customHeight="1">
      <c r="A33" s="474"/>
      <c r="B33" s="352" t="s">
        <v>1007</v>
      </c>
      <c r="C33" s="352"/>
      <c r="D33" s="352"/>
      <c r="E33" s="343" t="s">
        <v>1008</v>
      </c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474" t="s">
        <v>1009</v>
      </c>
      <c r="S33" s="477"/>
      <c r="T33" s="477"/>
      <c r="U33" s="477"/>
      <c r="V33" s="477"/>
      <c r="W33" s="477"/>
      <c r="X33" s="477"/>
      <c r="Y33" s="477"/>
      <c r="Z33" s="477"/>
      <c r="AA33" s="476"/>
      <c r="AB33" s="476"/>
    </row>
    <row r="34" spans="1:28" ht="9.75" customHeight="1">
      <c r="A34" s="474"/>
      <c r="B34" s="352" t="s">
        <v>1010</v>
      </c>
      <c r="C34" s="352"/>
      <c r="D34" s="352"/>
      <c r="E34" s="343" t="s">
        <v>1011</v>
      </c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474" t="s">
        <v>2037</v>
      </c>
      <c r="S34" s="477"/>
      <c r="T34" s="477"/>
      <c r="U34" s="477"/>
      <c r="V34" s="477"/>
      <c r="W34" s="477"/>
      <c r="X34" s="477"/>
      <c r="Y34" s="477"/>
      <c r="Z34" s="477"/>
      <c r="AA34" s="476"/>
      <c r="AB34" s="476"/>
    </row>
    <row r="35" spans="1:28" ht="9.75" customHeight="1">
      <c r="A35" s="474"/>
      <c r="B35" s="352" t="s">
        <v>1012</v>
      </c>
      <c r="C35" s="352"/>
      <c r="D35" s="352"/>
      <c r="E35" s="343" t="s">
        <v>1013</v>
      </c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474" t="s">
        <v>2043</v>
      </c>
      <c r="S35" s="477"/>
      <c r="T35" s="477"/>
      <c r="U35" s="477"/>
      <c r="V35" s="477"/>
      <c r="W35" s="477"/>
      <c r="X35" s="477"/>
      <c r="Y35" s="477"/>
      <c r="Z35" s="477"/>
      <c r="AA35" s="476"/>
      <c r="AB35" s="476"/>
    </row>
    <row r="36" spans="1:28" ht="9.75" customHeight="1">
      <c r="A36" s="474"/>
      <c r="B36" s="352" t="s">
        <v>1014</v>
      </c>
      <c r="C36" s="352"/>
      <c r="D36" s="352"/>
      <c r="E36" s="343" t="s">
        <v>1015</v>
      </c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474" t="s">
        <v>1016</v>
      </c>
      <c r="S36" s="477"/>
      <c r="T36" s="477"/>
      <c r="U36" s="477"/>
      <c r="V36" s="477"/>
      <c r="W36" s="477"/>
      <c r="X36" s="477"/>
      <c r="Y36" s="477"/>
      <c r="Z36" s="477"/>
      <c r="AA36" s="476"/>
      <c r="AB36" s="476"/>
    </row>
    <row r="37" spans="1:28" ht="9.75" customHeight="1">
      <c r="A37" s="474"/>
      <c r="B37" s="352" t="s">
        <v>1017</v>
      </c>
      <c r="C37" s="352"/>
      <c r="D37" s="352"/>
      <c r="E37" s="343" t="s">
        <v>1018</v>
      </c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474" t="s">
        <v>1019</v>
      </c>
      <c r="S37" s="477"/>
      <c r="T37" s="477"/>
      <c r="U37" s="477"/>
      <c r="V37" s="477"/>
      <c r="W37" s="477"/>
      <c r="X37" s="477"/>
      <c r="Y37" s="477"/>
      <c r="Z37" s="477"/>
      <c r="AA37" s="476"/>
      <c r="AB37" s="476"/>
    </row>
    <row r="38" spans="1:28" ht="9.75" customHeight="1">
      <c r="A38" s="474"/>
      <c r="B38" s="352" t="s">
        <v>1020</v>
      </c>
      <c r="C38" s="352"/>
      <c r="D38" s="352"/>
      <c r="E38" s="343" t="s">
        <v>1021</v>
      </c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474" t="s">
        <v>1022</v>
      </c>
      <c r="S38" s="477"/>
      <c r="T38" s="477"/>
      <c r="U38" s="477"/>
      <c r="V38" s="477"/>
      <c r="W38" s="477"/>
      <c r="X38" s="477"/>
      <c r="Y38" s="477"/>
      <c r="Z38" s="477"/>
      <c r="AA38" s="476"/>
      <c r="AB38" s="476"/>
    </row>
    <row r="39" spans="1:28" ht="9.75" customHeight="1">
      <c r="A39" s="474"/>
      <c r="B39" s="352" t="s">
        <v>1023</v>
      </c>
      <c r="C39" s="352"/>
      <c r="D39" s="352"/>
      <c r="E39" s="343" t="s">
        <v>1024</v>
      </c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474" t="s">
        <v>1025</v>
      </c>
      <c r="S39" s="477"/>
      <c r="T39" s="477"/>
      <c r="U39" s="477"/>
      <c r="V39" s="477"/>
      <c r="W39" s="477"/>
      <c r="X39" s="477"/>
      <c r="Y39" s="477"/>
      <c r="Z39" s="477"/>
      <c r="AA39" s="476"/>
      <c r="AB39" s="476"/>
    </row>
    <row r="40" spans="1:28" ht="9.75" customHeight="1">
      <c r="A40" s="474"/>
      <c r="B40" s="352" t="s">
        <v>1026</v>
      </c>
      <c r="C40" s="352"/>
      <c r="D40" s="352"/>
      <c r="E40" s="343" t="s">
        <v>1027</v>
      </c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474" t="s">
        <v>1028</v>
      </c>
      <c r="S40" s="477">
        <v>93607</v>
      </c>
      <c r="T40" s="477"/>
      <c r="U40" s="477"/>
      <c r="V40" s="477"/>
      <c r="W40" s="477"/>
      <c r="X40" s="477"/>
      <c r="Y40" s="477"/>
      <c r="Z40" s="477"/>
      <c r="AA40" s="476">
        <v>207113.6</v>
      </c>
      <c r="AB40" s="476"/>
    </row>
    <row r="41" spans="1:28" ht="9.75" customHeight="1">
      <c r="A41" s="474"/>
      <c r="B41" s="352" t="s">
        <v>1029</v>
      </c>
      <c r="C41" s="352"/>
      <c r="D41" s="352"/>
      <c r="E41" s="343" t="s">
        <v>1030</v>
      </c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474" t="s">
        <v>1031</v>
      </c>
      <c r="S41" s="477"/>
      <c r="T41" s="477"/>
      <c r="U41" s="477"/>
      <c r="V41" s="477"/>
      <c r="W41" s="477"/>
      <c r="X41" s="477"/>
      <c r="Y41" s="477"/>
      <c r="Z41" s="477"/>
      <c r="AA41" s="476"/>
      <c r="AB41" s="476"/>
    </row>
    <row r="42" spans="1:28" ht="9.75" customHeight="1">
      <c r="A42" s="474"/>
      <c r="B42" s="352" t="s">
        <v>1032</v>
      </c>
      <c r="C42" s="352"/>
      <c r="D42" s="352"/>
      <c r="E42" s="343" t="s">
        <v>1033</v>
      </c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474" t="s">
        <v>1034</v>
      </c>
      <c r="S42" s="477"/>
      <c r="T42" s="477"/>
      <c r="U42" s="477"/>
      <c r="V42" s="477"/>
      <c r="W42" s="477"/>
      <c r="X42" s="477"/>
      <c r="Y42" s="477"/>
      <c r="Z42" s="477"/>
      <c r="AA42" s="476"/>
      <c r="AB42" s="476"/>
    </row>
    <row r="43" spans="1:28" ht="9.75" customHeight="1">
      <c r="A43" s="474"/>
      <c r="B43" s="352" t="s">
        <v>1035</v>
      </c>
      <c r="C43" s="352"/>
      <c r="D43" s="352"/>
      <c r="E43" s="343" t="s">
        <v>1036</v>
      </c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474" t="s">
        <v>1037</v>
      </c>
      <c r="S43" s="477"/>
      <c r="T43" s="477"/>
      <c r="U43" s="477"/>
      <c r="V43" s="477"/>
      <c r="W43" s="477"/>
      <c r="X43" s="477"/>
      <c r="Y43" s="477"/>
      <c r="Z43" s="477"/>
      <c r="AA43" s="476"/>
      <c r="AB43" s="476"/>
    </row>
    <row r="44" spans="1:28" ht="9.75" customHeight="1">
      <c r="A44" s="474"/>
      <c r="B44" s="352" t="s">
        <v>1038</v>
      </c>
      <c r="C44" s="352"/>
      <c r="D44" s="352"/>
      <c r="E44" s="343" t="s">
        <v>1039</v>
      </c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474" t="s">
        <v>1040</v>
      </c>
      <c r="S44" s="477"/>
      <c r="T44" s="477"/>
      <c r="U44" s="477"/>
      <c r="V44" s="477"/>
      <c r="W44" s="477"/>
      <c r="X44" s="477"/>
      <c r="Y44" s="477"/>
      <c r="Z44" s="477"/>
      <c r="AA44" s="476"/>
      <c r="AB44" s="476"/>
    </row>
    <row r="45" spans="1:28" ht="9.75" customHeight="1">
      <c r="A45" s="474"/>
      <c r="B45" s="352" t="s">
        <v>1041</v>
      </c>
      <c r="C45" s="352"/>
      <c r="D45" s="352"/>
      <c r="E45" s="343" t="s">
        <v>1042</v>
      </c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474" t="s">
        <v>1043</v>
      </c>
      <c r="S45" s="477"/>
      <c r="T45" s="477"/>
      <c r="U45" s="477"/>
      <c r="V45" s="477"/>
      <c r="W45" s="477"/>
      <c r="X45" s="477"/>
      <c r="Y45" s="477"/>
      <c r="Z45" s="477"/>
      <c r="AA45" s="476"/>
      <c r="AB45" s="476"/>
    </row>
    <row r="46" spans="1:28" ht="9.75" customHeight="1">
      <c r="A46" s="474"/>
      <c r="B46" s="352" t="s">
        <v>1044</v>
      </c>
      <c r="C46" s="352"/>
      <c r="D46" s="352"/>
      <c r="E46" s="343" t="s">
        <v>1045</v>
      </c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474" t="s">
        <v>1046</v>
      </c>
      <c r="S46" s="477"/>
      <c r="T46" s="477"/>
      <c r="U46" s="477"/>
      <c r="V46" s="477"/>
      <c r="W46" s="477"/>
      <c r="X46" s="477"/>
      <c r="Y46" s="477"/>
      <c r="Z46" s="477"/>
      <c r="AA46" s="476"/>
      <c r="AB46" s="476"/>
    </row>
    <row r="47" spans="1:28" ht="9.75" customHeight="1">
      <c r="A47" s="474"/>
      <c r="B47" s="352" t="s">
        <v>1047</v>
      </c>
      <c r="C47" s="352"/>
      <c r="D47" s="352"/>
      <c r="E47" s="343" t="s">
        <v>1048</v>
      </c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474" t="s">
        <v>1049</v>
      </c>
      <c r="S47" s="477">
        <v>32897.2</v>
      </c>
      <c r="T47" s="477"/>
      <c r="U47" s="477"/>
      <c r="V47" s="477"/>
      <c r="W47" s="477"/>
      <c r="X47" s="477"/>
      <c r="Y47" s="477"/>
      <c r="Z47" s="477"/>
      <c r="AA47" s="476"/>
      <c r="AB47" s="476"/>
    </row>
    <row r="48" spans="1:28" ht="9.75" customHeight="1">
      <c r="A48" s="474"/>
      <c r="B48" s="352" t="s">
        <v>1050</v>
      </c>
      <c r="C48" s="352"/>
      <c r="D48" s="352"/>
      <c r="E48" s="343" t="s">
        <v>1051</v>
      </c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474" t="s">
        <v>1052</v>
      </c>
      <c r="S48" s="477">
        <v>292577.93</v>
      </c>
      <c r="T48" s="477"/>
      <c r="U48" s="477"/>
      <c r="V48" s="477"/>
      <c r="W48" s="477"/>
      <c r="X48" s="477"/>
      <c r="Y48" s="477"/>
      <c r="Z48" s="477"/>
      <c r="AA48" s="476">
        <v>363661.72</v>
      </c>
      <c r="AB48" s="476"/>
    </row>
    <row r="49" spans="1:28" ht="4.5" customHeight="1" thickBot="1">
      <c r="A49" s="491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1"/>
      <c r="P49" s="491"/>
      <c r="Q49" s="491"/>
      <c r="R49" s="491"/>
      <c r="S49" s="491"/>
      <c r="T49" s="491"/>
      <c r="U49" s="491"/>
      <c r="V49" s="491"/>
      <c r="W49" s="491"/>
      <c r="X49" s="491"/>
      <c r="Y49" s="491"/>
      <c r="Z49" s="491"/>
      <c r="AA49" s="491"/>
      <c r="AB49" s="491"/>
    </row>
    <row r="50" spans="1:28" ht="13.5" thickBot="1">
      <c r="A50" s="470"/>
      <c r="B50" s="369" t="s">
        <v>1053</v>
      </c>
      <c r="C50" s="369"/>
      <c r="D50" s="470"/>
      <c r="E50" s="356" t="s">
        <v>1054</v>
      </c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471"/>
      <c r="S50" s="472"/>
      <c r="T50" s="472"/>
      <c r="U50" s="472"/>
      <c r="V50" s="472"/>
      <c r="W50" s="472"/>
      <c r="X50" s="472"/>
      <c r="Y50" s="472"/>
      <c r="Z50" s="472"/>
      <c r="AA50" s="473">
        <v>62638</v>
      </c>
      <c r="AB50" s="473"/>
    </row>
    <row r="51" spans="1:28" ht="10.5" customHeight="1">
      <c r="A51" s="474"/>
      <c r="B51" s="355" t="s">
        <v>1492</v>
      </c>
      <c r="C51" s="355"/>
      <c r="D51" s="355"/>
      <c r="E51" s="354" t="s">
        <v>1055</v>
      </c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474" t="s">
        <v>1056</v>
      </c>
      <c r="S51" s="475"/>
      <c r="T51" s="475"/>
      <c r="U51" s="475"/>
      <c r="V51" s="475"/>
      <c r="W51" s="475"/>
      <c r="X51" s="475"/>
      <c r="Y51" s="475"/>
      <c r="Z51" s="475"/>
      <c r="AA51" s="476"/>
      <c r="AB51" s="476"/>
    </row>
    <row r="52" spans="1:28" ht="10.5" customHeight="1">
      <c r="A52" s="474"/>
      <c r="B52" s="352" t="s">
        <v>1496</v>
      </c>
      <c r="C52" s="352"/>
      <c r="D52" s="352"/>
      <c r="E52" s="343" t="s">
        <v>1057</v>
      </c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474" t="s">
        <v>1058</v>
      </c>
      <c r="S52" s="477"/>
      <c r="T52" s="477"/>
      <c r="U52" s="477"/>
      <c r="V52" s="477"/>
      <c r="W52" s="477"/>
      <c r="X52" s="477"/>
      <c r="Y52" s="477"/>
      <c r="Z52" s="477"/>
      <c r="AA52" s="476"/>
      <c r="AB52" s="476"/>
    </row>
    <row r="53" spans="1:28" ht="10.5" customHeight="1">
      <c r="A53" s="474"/>
      <c r="B53" s="352" t="s">
        <v>1500</v>
      </c>
      <c r="C53" s="352"/>
      <c r="D53" s="352"/>
      <c r="E53" s="343" t="s">
        <v>1059</v>
      </c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474" t="s">
        <v>1060</v>
      </c>
      <c r="S53" s="477"/>
      <c r="T53" s="477"/>
      <c r="U53" s="477"/>
      <c r="V53" s="477"/>
      <c r="W53" s="477"/>
      <c r="X53" s="477"/>
      <c r="Y53" s="477"/>
      <c r="Z53" s="477"/>
      <c r="AA53" s="476"/>
      <c r="AB53" s="476"/>
    </row>
    <row r="54" spans="1:28" ht="10.5" customHeight="1">
      <c r="A54" s="474"/>
      <c r="B54" s="352" t="s">
        <v>1506</v>
      </c>
      <c r="C54" s="352"/>
      <c r="D54" s="352"/>
      <c r="E54" s="343" t="s">
        <v>1061</v>
      </c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474" t="s">
        <v>1062</v>
      </c>
      <c r="S54" s="477"/>
      <c r="T54" s="477"/>
      <c r="U54" s="477"/>
      <c r="V54" s="477"/>
      <c r="W54" s="477"/>
      <c r="X54" s="477"/>
      <c r="Y54" s="477"/>
      <c r="Z54" s="477"/>
      <c r="AA54" s="476"/>
      <c r="AB54" s="476"/>
    </row>
    <row r="55" spans="1:28" ht="10.5" customHeight="1">
      <c r="A55" s="474"/>
      <c r="B55" s="352" t="s">
        <v>1512</v>
      </c>
      <c r="C55" s="352"/>
      <c r="D55" s="352"/>
      <c r="E55" s="343" t="s">
        <v>1063</v>
      </c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474" t="s">
        <v>1064</v>
      </c>
      <c r="S55" s="477"/>
      <c r="T55" s="477"/>
      <c r="U55" s="477"/>
      <c r="V55" s="477"/>
      <c r="W55" s="477"/>
      <c r="X55" s="477"/>
      <c r="Y55" s="477"/>
      <c r="Z55" s="477"/>
      <c r="AA55" s="476">
        <v>62638</v>
      </c>
      <c r="AB55" s="476"/>
    </row>
    <row r="56" spans="1:28" ht="4.5" customHeight="1" thickBot="1">
      <c r="A56" s="491"/>
      <c r="B56" s="491"/>
      <c r="C56" s="491"/>
      <c r="D56" s="491"/>
      <c r="E56" s="491"/>
      <c r="F56" s="491"/>
      <c r="G56" s="491"/>
      <c r="H56" s="491"/>
      <c r="I56" s="491"/>
      <c r="J56" s="491"/>
      <c r="K56" s="491"/>
      <c r="L56" s="491"/>
      <c r="M56" s="491"/>
      <c r="N56" s="491"/>
      <c r="O56" s="491"/>
      <c r="P56" s="491"/>
      <c r="Q56" s="491"/>
      <c r="R56" s="491"/>
      <c r="S56" s="491"/>
      <c r="T56" s="491"/>
      <c r="U56" s="491"/>
      <c r="V56" s="491"/>
      <c r="W56" s="491"/>
      <c r="X56" s="491"/>
      <c r="Y56" s="491"/>
      <c r="Z56" s="491"/>
      <c r="AA56" s="491"/>
      <c r="AB56" s="491"/>
    </row>
    <row r="57" spans="1:28" ht="9.75" customHeight="1" thickBot="1">
      <c r="A57" s="350" t="s">
        <v>956</v>
      </c>
      <c r="B57" s="350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1" t="s">
        <v>957</v>
      </c>
      <c r="R57" s="451"/>
      <c r="S57" s="452" t="s">
        <v>958</v>
      </c>
      <c r="T57" s="453"/>
      <c r="U57" s="453"/>
      <c r="V57" s="453"/>
      <c r="W57" s="453"/>
      <c r="X57" s="453"/>
      <c r="Y57" s="453"/>
      <c r="Z57" s="454"/>
      <c r="AA57" s="452" t="s">
        <v>959</v>
      </c>
      <c r="AB57" s="453"/>
    </row>
    <row r="58" spans="1:28" ht="9.75" customHeight="1">
      <c r="A58" s="455" t="s">
        <v>960</v>
      </c>
      <c r="B58" s="455"/>
      <c r="C58" s="455"/>
      <c r="D58" s="455"/>
      <c r="E58" s="455" t="s">
        <v>2124</v>
      </c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6" t="s">
        <v>961</v>
      </c>
      <c r="R58" s="457"/>
      <c r="S58" s="458" t="s">
        <v>1339</v>
      </c>
      <c r="T58" s="351"/>
      <c r="U58" s="351"/>
      <c r="V58" s="351"/>
      <c r="W58" s="351" t="s">
        <v>962</v>
      </c>
      <c r="X58" s="351"/>
      <c r="Y58" s="351"/>
      <c r="Z58" s="451"/>
      <c r="AA58" s="459" t="s">
        <v>1339</v>
      </c>
      <c r="AB58" s="459" t="s">
        <v>962</v>
      </c>
    </row>
    <row r="59" spans="1:28" ht="9.75" customHeight="1" thickBot="1">
      <c r="A59" s="460"/>
      <c r="B59" s="460"/>
      <c r="C59" s="460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460"/>
      <c r="P59" s="460"/>
      <c r="Q59" s="461"/>
      <c r="R59" s="462"/>
      <c r="S59" s="463" t="s">
        <v>1659</v>
      </c>
      <c r="T59" s="464"/>
      <c r="U59" s="464"/>
      <c r="V59" s="464"/>
      <c r="W59" s="461" t="s">
        <v>1729</v>
      </c>
      <c r="X59" s="461"/>
      <c r="Y59" s="461"/>
      <c r="Z59" s="462"/>
      <c r="AA59" s="465" t="s">
        <v>2336</v>
      </c>
      <c r="AB59" s="466" t="s">
        <v>1785</v>
      </c>
    </row>
    <row r="60" spans="1:28" ht="13.5" thickBot="1">
      <c r="A60" s="470"/>
      <c r="B60" s="369" t="s">
        <v>1065</v>
      </c>
      <c r="C60" s="369"/>
      <c r="D60" s="470"/>
      <c r="E60" s="356" t="s">
        <v>1066</v>
      </c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471"/>
      <c r="S60" s="472"/>
      <c r="T60" s="472"/>
      <c r="U60" s="472"/>
      <c r="V60" s="472"/>
      <c r="W60" s="472"/>
      <c r="X60" s="472"/>
      <c r="Y60" s="472"/>
      <c r="Z60" s="472"/>
      <c r="AA60" s="473"/>
      <c r="AB60" s="473"/>
    </row>
    <row r="61" spans="1:28" ht="10.5" customHeight="1">
      <c r="A61" s="474"/>
      <c r="B61" s="355" t="s">
        <v>1492</v>
      </c>
      <c r="C61" s="355"/>
      <c r="D61" s="355"/>
      <c r="E61" s="354" t="s">
        <v>1067</v>
      </c>
      <c r="F61" s="354"/>
      <c r="G61" s="354"/>
      <c r="H61" s="354"/>
      <c r="I61" s="354"/>
      <c r="J61" s="354"/>
      <c r="K61" s="354"/>
      <c r="L61" s="354"/>
      <c r="M61" s="354"/>
      <c r="N61" s="354"/>
      <c r="O61" s="354"/>
      <c r="P61" s="354"/>
      <c r="Q61" s="354"/>
      <c r="R61" s="474" t="s">
        <v>1068</v>
      </c>
      <c r="S61" s="475"/>
      <c r="T61" s="475"/>
      <c r="U61" s="475"/>
      <c r="V61" s="475"/>
      <c r="W61" s="475"/>
      <c r="X61" s="475"/>
      <c r="Y61" s="475"/>
      <c r="Z61" s="475"/>
      <c r="AA61" s="476"/>
      <c r="AB61" s="476"/>
    </row>
    <row r="62" spans="1:28" ht="10.5" customHeight="1">
      <c r="A62" s="474"/>
      <c r="B62" s="352" t="s">
        <v>1496</v>
      </c>
      <c r="C62" s="352"/>
      <c r="D62" s="352"/>
      <c r="E62" s="343" t="s">
        <v>1069</v>
      </c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474" t="s">
        <v>1070</v>
      </c>
      <c r="S62" s="477"/>
      <c r="T62" s="477"/>
      <c r="U62" s="477"/>
      <c r="V62" s="477"/>
      <c r="W62" s="477"/>
      <c r="X62" s="477"/>
      <c r="Y62" s="477"/>
      <c r="Z62" s="477"/>
      <c r="AA62" s="476"/>
      <c r="AB62" s="476"/>
    </row>
    <row r="63" spans="1:28" ht="4.5" customHeight="1" thickBot="1">
      <c r="A63" s="491"/>
      <c r="B63" s="491"/>
      <c r="C63" s="491"/>
      <c r="D63" s="491"/>
      <c r="E63" s="491"/>
      <c r="F63" s="491"/>
      <c r="G63" s="491"/>
      <c r="H63" s="491"/>
      <c r="I63" s="491"/>
      <c r="J63" s="491"/>
      <c r="K63" s="491"/>
      <c r="L63" s="491"/>
      <c r="M63" s="491"/>
      <c r="N63" s="491"/>
      <c r="O63" s="491"/>
      <c r="P63" s="491"/>
      <c r="Q63" s="491"/>
      <c r="R63" s="491"/>
      <c r="S63" s="491"/>
      <c r="T63" s="491"/>
      <c r="U63" s="491"/>
      <c r="V63" s="491"/>
      <c r="W63" s="491"/>
      <c r="X63" s="491"/>
      <c r="Y63" s="491"/>
      <c r="Z63" s="491"/>
      <c r="AA63" s="491"/>
      <c r="AB63" s="491"/>
    </row>
    <row r="64" spans="1:28" ht="13.5" thickBot="1">
      <c r="A64" s="470"/>
      <c r="B64" s="369" t="s">
        <v>1071</v>
      </c>
      <c r="C64" s="369"/>
      <c r="D64" s="470"/>
      <c r="E64" s="356" t="s">
        <v>1072</v>
      </c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471"/>
      <c r="S64" s="472"/>
      <c r="T64" s="472"/>
      <c r="U64" s="472"/>
      <c r="V64" s="472"/>
      <c r="W64" s="472"/>
      <c r="X64" s="472"/>
      <c r="Y64" s="472"/>
      <c r="Z64" s="472"/>
      <c r="AA64" s="473"/>
      <c r="AB64" s="473"/>
    </row>
    <row r="65" spans="1:28" ht="12.75">
      <c r="A65" s="474"/>
      <c r="B65" s="355" t="s">
        <v>1492</v>
      </c>
      <c r="C65" s="355"/>
      <c r="D65" s="355"/>
      <c r="E65" s="354" t="s">
        <v>1072</v>
      </c>
      <c r="F65" s="354"/>
      <c r="G65" s="354"/>
      <c r="H65" s="354"/>
      <c r="I65" s="354"/>
      <c r="J65" s="354"/>
      <c r="K65" s="354"/>
      <c r="L65" s="354"/>
      <c r="M65" s="354"/>
      <c r="N65" s="354"/>
      <c r="O65" s="354"/>
      <c r="P65" s="354"/>
      <c r="Q65" s="354"/>
      <c r="R65" s="474" t="s">
        <v>1073</v>
      </c>
      <c r="S65" s="475"/>
      <c r="T65" s="475"/>
      <c r="U65" s="475"/>
      <c r="V65" s="475"/>
      <c r="W65" s="475"/>
      <c r="X65" s="475"/>
      <c r="Y65" s="475"/>
      <c r="Z65" s="475"/>
      <c r="AA65" s="476"/>
      <c r="AB65" s="476"/>
    </row>
    <row r="66" spans="1:28" ht="13.5" thickBot="1">
      <c r="A66" s="474"/>
      <c r="B66" s="353" t="s">
        <v>1496</v>
      </c>
      <c r="C66" s="353"/>
      <c r="D66" s="353"/>
      <c r="E66" s="345" t="s">
        <v>1074</v>
      </c>
      <c r="F66" s="345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  <c r="R66" s="474" t="s">
        <v>1075</v>
      </c>
      <c r="S66" s="479"/>
      <c r="T66" s="479"/>
      <c r="U66" s="479"/>
      <c r="V66" s="479"/>
      <c r="W66" s="479"/>
      <c r="X66" s="479"/>
      <c r="Y66" s="479"/>
      <c r="Z66" s="479"/>
      <c r="AA66" s="476"/>
      <c r="AB66" s="476"/>
    </row>
    <row r="67" spans="1:28" ht="13.5" thickBot="1">
      <c r="A67" s="363" t="s">
        <v>1076</v>
      </c>
      <c r="B67" s="363"/>
      <c r="C67" s="363"/>
      <c r="D67" s="363"/>
      <c r="E67" s="363" t="s">
        <v>1077</v>
      </c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467"/>
      <c r="S67" s="468">
        <v>6918767.66</v>
      </c>
      <c r="T67" s="468"/>
      <c r="U67" s="468"/>
      <c r="V67" s="468"/>
      <c r="W67" s="468">
        <v>903590.54</v>
      </c>
      <c r="X67" s="468"/>
      <c r="Y67" s="468"/>
      <c r="Z67" s="468"/>
      <c r="AA67" s="469">
        <v>6719343.53</v>
      </c>
      <c r="AB67" s="469">
        <v>884446.03</v>
      </c>
    </row>
    <row r="68" spans="1:28" ht="13.5" thickBot="1">
      <c r="A68" s="493"/>
      <c r="B68" s="493"/>
      <c r="C68" s="493"/>
      <c r="D68" s="493"/>
      <c r="E68" s="493"/>
      <c r="F68" s="493"/>
      <c r="G68" s="493"/>
      <c r="H68" s="493"/>
      <c r="I68" s="493"/>
      <c r="J68" s="493"/>
      <c r="K68" s="493"/>
      <c r="L68" s="493"/>
      <c r="M68" s="493"/>
      <c r="N68" s="493"/>
      <c r="O68" s="493"/>
      <c r="P68" s="493"/>
      <c r="Q68" s="493"/>
      <c r="R68" s="493"/>
      <c r="S68" s="493"/>
      <c r="T68" s="493"/>
      <c r="U68" s="493"/>
      <c r="V68" s="493"/>
      <c r="W68" s="493"/>
      <c r="X68" s="493"/>
      <c r="Y68" s="493"/>
      <c r="Z68" s="493"/>
      <c r="AA68" s="493"/>
      <c r="AB68" s="493"/>
    </row>
    <row r="69" spans="1:28" ht="13.5" thickBot="1">
      <c r="A69" s="470"/>
      <c r="B69" s="369" t="s">
        <v>965</v>
      </c>
      <c r="C69" s="369"/>
      <c r="D69" s="470"/>
      <c r="E69" s="356" t="s">
        <v>1078</v>
      </c>
      <c r="F69" s="356"/>
      <c r="G69" s="356"/>
      <c r="H69" s="356"/>
      <c r="I69" s="356"/>
      <c r="J69" s="356"/>
      <c r="K69" s="356"/>
      <c r="L69" s="356"/>
      <c r="M69" s="356"/>
      <c r="N69" s="356"/>
      <c r="O69" s="356"/>
      <c r="P69" s="356"/>
      <c r="Q69" s="356"/>
      <c r="R69" s="471"/>
      <c r="S69" s="472">
        <v>3489508</v>
      </c>
      <c r="T69" s="472"/>
      <c r="U69" s="472"/>
      <c r="V69" s="472"/>
      <c r="W69" s="472">
        <v>903590.54</v>
      </c>
      <c r="X69" s="472"/>
      <c r="Y69" s="472"/>
      <c r="Z69" s="472"/>
      <c r="AA69" s="473">
        <v>3325908.4</v>
      </c>
      <c r="AB69" s="473">
        <v>884446.03</v>
      </c>
    </row>
    <row r="70" spans="1:28" ht="12.75">
      <c r="A70" s="474"/>
      <c r="B70" s="355" t="s">
        <v>1492</v>
      </c>
      <c r="C70" s="355"/>
      <c r="D70" s="355"/>
      <c r="E70" s="354" t="s">
        <v>1079</v>
      </c>
      <c r="F70" s="354"/>
      <c r="G70" s="354"/>
      <c r="H70" s="354"/>
      <c r="I70" s="354"/>
      <c r="J70" s="354"/>
      <c r="K70" s="354"/>
      <c r="L70" s="354"/>
      <c r="M70" s="354"/>
      <c r="N70" s="354"/>
      <c r="O70" s="354"/>
      <c r="P70" s="354"/>
      <c r="Q70" s="354"/>
      <c r="R70" s="474" t="s">
        <v>1080</v>
      </c>
      <c r="S70" s="475"/>
      <c r="T70" s="475"/>
      <c r="U70" s="475"/>
      <c r="V70" s="475"/>
      <c r="W70" s="475"/>
      <c r="X70" s="475"/>
      <c r="Y70" s="475"/>
      <c r="Z70" s="475"/>
      <c r="AA70" s="476"/>
      <c r="AB70" s="476"/>
    </row>
    <row r="71" spans="1:28" ht="12.75">
      <c r="A71" s="474"/>
      <c r="B71" s="352" t="s">
        <v>1496</v>
      </c>
      <c r="C71" s="352"/>
      <c r="D71" s="352"/>
      <c r="E71" s="343" t="s">
        <v>1081</v>
      </c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474" t="s">
        <v>1082</v>
      </c>
      <c r="S71" s="477">
        <v>3060124</v>
      </c>
      <c r="T71" s="477"/>
      <c r="U71" s="477"/>
      <c r="V71" s="477"/>
      <c r="W71" s="477">
        <v>903590.54</v>
      </c>
      <c r="X71" s="477"/>
      <c r="Y71" s="477"/>
      <c r="Z71" s="477"/>
      <c r="AA71" s="476">
        <v>2905232</v>
      </c>
      <c r="AB71" s="476">
        <v>884446.03</v>
      </c>
    </row>
    <row r="72" spans="1:28" ht="12.75">
      <c r="A72" s="474"/>
      <c r="B72" s="352" t="s">
        <v>1500</v>
      </c>
      <c r="C72" s="352"/>
      <c r="D72" s="352"/>
      <c r="E72" s="343" t="s">
        <v>1083</v>
      </c>
      <c r="F72" s="343"/>
      <c r="G72" s="343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474" t="s">
        <v>1084</v>
      </c>
      <c r="S72" s="477"/>
      <c r="T72" s="477"/>
      <c r="U72" s="477"/>
      <c r="V72" s="477"/>
      <c r="W72" s="477"/>
      <c r="X72" s="477"/>
      <c r="Y72" s="477"/>
      <c r="Z72" s="477"/>
      <c r="AA72" s="476"/>
      <c r="AB72" s="476"/>
    </row>
    <row r="73" spans="1:28" ht="12.75">
      <c r="A73" s="474"/>
      <c r="B73" s="352" t="s">
        <v>1506</v>
      </c>
      <c r="C73" s="352"/>
      <c r="D73" s="352"/>
      <c r="E73" s="343" t="s">
        <v>1085</v>
      </c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474" t="s">
        <v>1086</v>
      </c>
      <c r="S73" s="477"/>
      <c r="T73" s="477"/>
      <c r="U73" s="477"/>
      <c r="V73" s="477"/>
      <c r="W73" s="477"/>
      <c r="X73" s="477"/>
      <c r="Y73" s="477"/>
      <c r="Z73" s="477"/>
      <c r="AA73" s="476"/>
      <c r="AB73" s="476"/>
    </row>
    <row r="74" spans="1:28" ht="12.75">
      <c r="A74" s="474"/>
      <c r="B74" s="352" t="s">
        <v>1527</v>
      </c>
      <c r="C74" s="352"/>
      <c r="D74" s="352"/>
      <c r="E74" s="343" t="s">
        <v>1087</v>
      </c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474" t="s">
        <v>1088</v>
      </c>
      <c r="S74" s="477"/>
      <c r="T74" s="477"/>
      <c r="U74" s="477"/>
      <c r="V74" s="477"/>
      <c r="W74" s="477"/>
      <c r="X74" s="477"/>
      <c r="Y74" s="477"/>
      <c r="Z74" s="477"/>
      <c r="AA74" s="476"/>
      <c r="AB74" s="476"/>
    </row>
    <row r="75" spans="1:28" ht="12.75">
      <c r="A75" s="474"/>
      <c r="B75" s="352" t="s">
        <v>1529</v>
      </c>
      <c r="C75" s="352"/>
      <c r="D75" s="352"/>
      <c r="E75" s="343" t="s">
        <v>1011</v>
      </c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474" t="s">
        <v>1089</v>
      </c>
      <c r="S75" s="477"/>
      <c r="T75" s="477"/>
      <c r="U75" s="477"/>
      <c r="V75" s="477"/>
      <c r="W75" s="477"/>
      <c r="X75" s="477"/>
      <c r="Y75" s="477"/>
      <c r="Z75" s="477"/>
      <c r="AA75" s="476"/>
      <c r="AB75" s="476"/>
    </row>
    <row r="76" spans="1:28" ht="12.75">
      <c r="A76" s="474"/>
      <c r="B76" s="352" t="s">
        <v>1531</v>
      </c>
      <c r="C76" s="352"/>
      <c r="D76" s="352"/>
      <c r="E76" s="343" t="s">
        <v>1013</v>
      </c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474" t="s">
        <v>1090</v>
      </c>
      <c r="S76" s="477"/>
      <c r="T76" s="477"/>
      <c r="U76" s="477"/>
      <c r="V76" s="477"/>
      <c r="W76" s="477"/>
      <c r="X76" s="477"/>
      <c r="Y76" s="477"/>
      <c r="Z76" s="477"/>
      <c r="AA76" s="476"/>
      <c r="AB76" s="476"/>
    </row>
    <row r="77" spans="1:28" ht="12.75">
      <c r="A77" s="474"/>
      <c r="B77" s="352" t="s">
        <v>982</v>
      </c>
      <c r="C77" s="352"/>
      <c r="D77" s="352"/>
      <c r="E77" s="343" t="s">
        <v>1091</v>
      </c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474" t="s">
        <v>1092</v>
      </c>
      <c r="S77" s="477"/>
      <c r="T77" s="477"/>
      <c r="U77" s="477"/>
      <c r="V77" s="477"/>
      <c r="W77" s="477"/>
      <c r="X77" s="477"/>
      <c r="Y77" s="477"/>
      <c r="Z77" s="477"/>
      <c r="AA77" s="476"/>
      <c r="AB77" s="476"/>
    </row>
    <row r="78" spans="1:28" ht="12.75">
      <c r="A78" s="474"/>
      <c r="B78" s="352" t="s">
        <v>984</v>
      </c>
      <c r="C78" s="352"/>
      <c r="D78" s="352"/>
      <c r="E78" s="343" t="s">
        <v>1093</v>
      </c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474" t="s">
        <v>1094</v>
      </c>
      <c r="S78" s="477"/>
      <c r="T78" s="477"/>
      <c r="U78" s="477"/>
      <c r="V78" s="477"/>
      <c r="W78" s="477"/>
      <c r="X78" s="477"/>
      <c r="Y78" s="477"/>
      <c r="Z78" s="477"/>
      <c r="AA78" s="476"/>
      <c r="AB78" s="476"/>
    </row>
    <row r="79" spans="1:28" ht="12.75">
      <c r="A79" s="474"/>
      <c r="B79" s="352" t="s">
        <v>987</v>
      </c>
      <c r="C79" s="352"/>
      <c r="D79" s="352"/>
      <c r="E79" s="343" t="s">
        <v>1095</v>
      </c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474" t="s">
        <v>1096</v>
      </c>
      <c r="S79" s="477"/>
      <c r="T79" s="477"/>
      <c r="U79" s="477"/>
      <c r="V79" s="477"/>
      <c r="W79" s="477"/>
      <c r="X79" s="477"/>
      <c r="Y79" s="477"/>
      <c r="Z79" s="477"/>
      <c r="AA79" s="476"/>
      <c r="AB79" s="476"/>
    </row>
    <row r="80" spans="1:28" ht="12.75">
      <c r="A80" s="474"/>
      <c r="B80" s="352" t="s">
        <v>990</v>
      </c>
      <c r="C80" s="352"/>
      <c r="D80" s="352"/>
      <c r="E80" s="343" t="s">
        <v>1097</v>
      </c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474" t="s">
        <v>1098</v>
      </c>
      <c r="S80" s="477"/>
      <c r="T80" s="477"/>
      <c r="U80" s="477"/>
      <c r="V80" s="477"/>
      <c r="W80" s="477"/>
      <c r="X80" s="477"/>
      <c r="Y80" s="477"/>
      <c r="Z80" s="477"/>
      <c r="AA80" s="476"/>
      <c r="AB80" s="476"/>
    </row>
    <row r="81" spans="1:28" ht="12.75">
      <c r="A81" s="474"/>
      <c r="B81" s="352" t="s">
        <v>993</v>
      </c>
      <c r="C81" s="352"/>
      <c r="D81" s="352"/>
      <c r="E81" s="343" t="s">
        <v>1099</v>
      </c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474" t="s">
        <v>1100</v>
      </c>
      <c r="S81" s="477"/>
      <c r="T81" s="477"/>
      <c r="U81" s="477"/>
      <c r="V81" s="477"/>
      <c r="W81" s="477"/>
      <c r="X81" s="477"/>
      <c r="Y81" s="477"/>
      <c r="Z81" s="477"/>
      <c r="AA81" s="476"/>
      <c r="AB81" s="476"/>
    </row>
    <row r="82" spans="1:28" ht="12.75">
      <c r="A82" s="474"/>
      <c r="B82" s="352" t="s">
        <v>996</v>
      </c>
      <c r="C82" s="352"/>
      <c r="D82" s="352"/>
      <c r="E82" s="343" t="s">
        <v>1101</v>
      </c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474" t="s">
        <v>1102</v>
      </c>
      <c r="S82" s="477">
        <v>93196</v>
      </c>
      <c r="T82" s="477"/>
      <c r="U82" s="477"/>
      <c r="V82" s="477"/>
      <c r="W82" s="477"/>
      <c r="X82" s="477"/>
      <c r="Y82" s="477"/>
      <c r="Z82" s="477"/>
      <c r="AA82" s="476">
        <v>46945</v>
      </c>
      <c r="AB82" s="476"/>
    </row>
    <row r="83" spans="1:28" ht="12.75">
      <c r="A83" s="474"/>
      <c r="B83" s="352" t="s">
        <v>999</v>
      </c>
      <c r="C83" s="352"/>
      <c r="D83" s="352"/>
      <c r="E83" s="343" t="s">
        <v>1103</v>
      </c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474" t="s">
        <v>1104</v>
      </c>
      <c r="S83" s="477">
        <v>336188</v>
      </c>
      <c r="T83" s="477"/>
      <c r="U83" s="477"/>
      <c r="V83" s="477"/>
      <c r="W83" s="477"/>
      <c r="X83" s="477"/>
      <c r="Y83" s="477"/>
      <c r="Z83" s="477"/>
      <c r="AA83" s="476">
        <v>373731.4</v>
      </c>
      <c r="AB83" s="476"/>
    </row>
    <row r="84" spans="1:28" ht="13.5" thickBot="1">
      <c r="A84" s="491"/>
      <c r="B84" s="491"/>
      <c r="C84" s="491"/>
      <c r="D84" s="491"/>
      <c r="E84" s="491"/>
      <c r="F84" s="491"/>
      <c r="G84" s="491"/>
      <c r="H84" s="491"/>
      <c r="I84" s="491"/>
      <c r="J84" s="491"/>
      <c r="K84" s="491"/>
      <c r="L84" s="491"/>
      <c r="M84" s="491"/>
      <c r="N84" s="491"/>
      <c r="O84" s="491"/>
      <c r="P84" s="491"/>
      <c r="Q84" s="491"/>
      <c r="R84" s="491"/>
      <c r="S84" s="491"/>
      <c r="T84" s="491"/>
      <c r="U84" s="491"/>
      <c r="V84" s="491"/>
      <c r="W84" s="491"/>
      <c r="X84" s="491"/>
      <c r="Y84" s="491"/>
      <c r="Z84" s="491"/>
      <c r="AA84" s="491"/>
      <c r="AB84" s="491"/>
    </row>
    <row r="85" spans="1:28" ht="13.5" thickBot="1">
      <c r="A85" s="470"/>
      <c r="B85" s="369" t="s">
        <v>1053</v>
      </c>
      <c r="C85" s="369"/>
      <c r="D85" s="470"/>
      <c r="E85" s="356" t="s">
        <v>1105</v>
      </c>
      <c r="F85" s="356"/>
      <c r="G85" s="356"/>
      <c r="H85" s="356"/>
      <c r="I85" s="356"/>
      <c r="J85" s="356"/>
      <c r="K85" s="356"/>
      <c r="L85" s="356"/>
      <c r="M85" s="356"/>
      <c r="N85" s="356"/>
      <c r="O85" s="356"/>
      <c r="P85" s="356"/>
      <c r="Q85" s="356"/>
      <c r="R85" s="471"/>
      <c r="S85" s="472">
        <v>18602.69</v>
      </c>
      <c r="T85" s="472"/>
      <c r="U85" s="472"/>
      <c r="V85" s="472"/>
      <c r="W85" s="472"/>
      <c r="X85" s="472"/>
      <c r="Y85" s="472"/>
      <c r="Z85" s="472"/>
      <c r="AA85" s="473">
        <v>16494.39</v>
      </c>
      <c r="AB85" s="473"/>
    </row>
    <row r="86" spans="1:28" ht="12.75">
      <c r="A86" s="474"/>
      <c r="B86" s="355" t="s">
        <v>1492</v>
      </c>
      <c r="C86" s="355"/>
      <c r="D86" s="355"/>
      <c r="E86" s="354" t="s">
        <v>1106</v>
      </c>
      <c r="F86" s="354"/>
      <c r="G86" s="354"/>
      <c r="H86" s="354"/>
      <c r="I86" s="354"/>
      <c r="J86" s="354"/>
      <c r="K86" s="354"/>
      <c r="L86" s="354"/>
      <c r="M86" s="354"/>
      <c r="N86" s="354"/>
      <c r="O86" s="354"/>
      <c r="P86" s="354"/>
      <c r="Q86" s="354"/>
      <c r="R86" s="474" t="s">
        <v>1107</v>
      </c>
      <c r="S86" s="475"/>
      <c r="T86" s="475"/>
      <c r="U86" s="475"/>
      <c r="V86" s="475"/>
      <c r="W86" s="475"/>
      <c r="X86" s="475"/>
      <c r="Y86" s="475"/>
      <c r="Z86" s="475"/>
      <c r="AA86" s="476"/>
      <c r="AB86" s="476"/>
    </row>
    <row r="87" spans="1:28" ht="12.75">
      <c r="A87" s="474"/>
      <c r="B87" s="352" t="s">
        <v>1496</v>
      </c>
      <c r="C87" s="352"/>
      <c r="D87" s="352"/>
      <c r="E87" s="343" t="s">
        <v>1057</v>
      </c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474" t="s">
        <v>1108</v>
      </c>
      <c r="S87" s="477">
        <v>18602.69</v>
      </c>
      <c r="T87" s="477"/>
      <c r="U87" s="477"/>
      <c r="V87" s="477"/>
      <c r="W87" s="477"/>
      <c r="X87" s="477"/>
      <c r="Y87" s="477"/>
      <c r="Z87" s="477"/>
      <c r="AA87" s="476">
        <v>16494.39</v>
      </c>
      <c r="AB87" s="476"/>
    </row>
    <row r="88" spans="1:28" ht="12.75">
      <c r="A88" s="474"/>
      <c r="B88" s="352" t="s">
        <v>1500</v>
      </c>
      <c r="C88" s="352"/>
      <c r="D88" s="352"/>
      <c r="E88" s="343" t="s">
        <v>1109</v>
      </c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474" t="s">
        <v>1110</v>
      </c>
      <c r="S88" s="477"/>
      <c r="T88" s="477"/>
      <c r="U88" s="477"/>
      <c r="V88" s="477"/>
      <c r="W88" s="477"/>
      <c r="X88" s="477"/>
      <c r="Y88" s="477"/>
      <c r="Z88" s="477"/>
      <c r="AA88" s="476"/>
      <c r="AB88" s="476"/>
    </row>
    <row r="89" spans="1:28" ht="12.75">
      <c r="A89" s="474"/>
      <c r="B89" s="352" t="s">
        <v>1506</v>
      </c>
      <c r="C89" s="352"/>
      <c r="D89" s="352"/>
      <c r="E89" s="343" t="s">
        <v>1111</v>
      </c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474" t="s">
        <v>1112</v>
      </c>
      <c r="S89" s="477"/>
      <c r="T89" s="477"/>
      <c r="U89" s="477"/>
      <c r="V89" s="477"/>
      <c r="W89" s="477"/>
      <c r="X89" s="477"/>
      <c r="Y89" s="477"/>
      <c r="Z89" s="477"/>
      <c r="AA89" s="476"/>
      <c r="AB89" s="476"/>
    </row>
    <row r="90" spans="1:28" ht="12.75">
      <c r="A90" s="474"/>
      <c r="B90" s="352" t="s">
        <v>1515</v>
      </c>
      <c r="C90" s="352"/>
      <c r="D90" s="352"/>
      <c r="E90" s="343" t="s">
        <v>1113</v>
      </c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474" t="s">
        <v>1114</v>
      </c>
      <c r="S90" s="477"/>
      <c r="T90" s="477"/>
      <c r="U90" s="477"/>
      <c r="V90" s="477"/>
      <c r="W90" s="477"/>
      <c r="X90" s="477"/>
      <c r="Y90" s="477"/>
      <c r="Z90" s="477"/>
      <c r="AA90" s="476"/>
      <c r="AB90" s="476"/>
    </row>
    <row r="91" spans="1:28" ht="12.75">
      <c r="A91" s="494"/>
      <c r="B91" s="494"/>
      <c r="C91" s="494"/>
      <c r="D91" s="494"/>
      <c r="E91" s="494"/>
      <c r="F91" s="494"/>
      <c r="G91" s="494"/>
      <c r="H91" s="494"/>
      <c r="I91" s="494"/>
      <c r="J91" s="494"/>
      <c r="K91" s="494"/>
      <c r="L91" s="494"/>
      <c r="M91" s="494"/>
      <c r="N91" s="494"/>
      <c r="O91" s="494"/>
      <c r="P91" s="494"/>
      <c r="Q91" s="494"/>
      <c r="R91" s="494"/>
      <c r="S91" s="494"/>
      <c r="T91" s="494"/>
      <c r="U91" s="494"/>
      <c r="V91" s="494"/>
      <c r="W91" s="494"/>
      <c r="X91" s="494"/>
      <c r="Y91" s="494"/>
      <c r="Z91" s="494"/>
      <c r="AA91" s="494"/>
      <c r="AB91" s="494"/>
    </row>
    <row r="92" spans="1:28" ht="13.5" thickBot="1">
      <c r="A92" s="491"/>
      <c r="B92" s="491"/>
      <c r="C92" s="491"/>
      <c r="D92" s="491"/>
      <c r="E92" s="491"/>
      <c r="F92" s="491"/>
      <c r="G92" s="491"/>
      <c r="H92" s="491"/>
      <c r="I92" s="491"/>
      <c r="J92" s="491"/>
      <c r="K92" s="491"/>
      <c r="L92" s="491"/>
      <c r="M92" s="491"/>
      <c r="N92" s="491"/>
      <c r="O92" s="491"/>
      <c r="P92" s="491"/>
      <c r="Q92" s="491"/>
      <c r="R92" s="491"/>
      <c r="S92" s="491"/>
      <c r="T92" s="491"/>
      <c r="U92" s="491"/>
      <c r="V92" s="491"/>
      <c r="W92" s="491"/>
      <c r="X92" s="491"/>
      <c r="Y92" s="491"/>
      <c r="Z92" s="491"/>
      <c r="AA92" s="491"/>
      <c r="AB92" s="491"/>
    </row>
    <row r="93" spans="1:28" ht="13.5" thickBot="1">
      <c r="A93" s="470"/>
      <c r="B93" s="369" t="s">
        <v>1115</v>
      </c>
      <c r="C93" s="369"/>
      <c r="D93" s="470"/>
      <c r="E93" s="356" t="s">
        <v>1116</v>
      </c>
      <c r="F93" s="356"/>
      <c r="G93" s="356"/>
      <c r="H93" s="356"/>
      <c r="I93" s="356"/>
      <c r="J93" s="356"/>
      <c r="K93" s="356"/>
      <c r="L93" s="356"/>
      <c r="M93" s="356"/>
      <c r="N93" s="356"/>
      <c r="O93" s="356"/>
      <c r="P93" s="356"/>
      <c r="Q93" s="356"/>
      <c r="R93" s="471"/>
      <c r="S93" s="472">
        <v>3410656.97</v>
      </c>
      <c r="T93" s="472"/>
      <c r="U93" s="472"/>
      <c r="V93" s="472"/>
      <c r="W93" s="472"/>
      <c r="X93" s="472"/>
      <c r="Y93" s="472"/>
      <c r="Z93" s="472"/>
      <c r="AA93" s="473">
        <v>3376940.74</v>
      </c>
      <c r="AB93" s="473"/>
    </row>
    <row r="94" spans="1:28" ht="12.75">
      <c r="A94" s="474"/>
      <c r="B94" s="355" t="s">
        <v>1492</v>
      </c>
      <c r="C94" s="355"/>
      <c r="D94" s="355"/>
      <c r="E94" s="354" t="s">
        <v>1117</v>
      </c>
      <c r="F94" s="354"/>
      <c r="G94" s="354"/>
      <c r="H94" s="354"/>
      <c r="I94" s="354"/>
      <c r="J94" s="354"/>
      <c r="K94" s="354"/>
      <c r="L94" s="354"/>
      <c r="M94" s="354"/>
      <c r="N94" s="354"/>
      <c r="O94" s="354"/>
      <c r="P94" s="354"/>
      <c r="Q94" s="354"/>
      <c r="R94" s="474" t="s">
        <v>1118</v>
      </c>
      <c r="S94" s="475"/>
      <c r="T94" s="475"/>
      <c r="U94" s="475"/>
      <c r="V94" s="475"/>
      <c r="W94" s="475"/>
      <c r="X94" s="475"/>
      <c r="Y94" s="475"/>
      <c r="Z94" s="475"/>
      <c r="AA94" s="476"/>
      <c r="AB94" s="476"/>
    </row>
    <row r="95" spans="1:28" ht="12.75">
      <c r="A95" s="474"/>
      <c r="B95" s="352" t="s">
        <v>1496</v>
      </c>
      <c r="C95" s="352"/>
      <c r="D95" s="352"/>
      <c r="E95" s="343" t="s">
        <v>1119</v>
      </c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474" t="s">
        <v>1120</v>
      </c>
      <c r="S95" s="477">
        <v>3410656.97</v>
      </c>
      <c r="T95" s="477"/>
      <c r="U95" s="477"/>
      <c r="V95" s="477"/>
      <c r="W95" s="477"/>
      <c r="X95" s="477"/>
      <c r="Y95" s="477"/>
      <c r="Z95" s="477"/>
      <c r="AA95" s="476">
        <v>3376940.74</v>
      </c>
      <c r="AB95" s="476"/>
    </row>
    <row r="96" spans="1:28" ht="12.75">
      <c r="A96" s="494"/>
      <c r="B96" s="494"/>
      <c r="C96" s="494"/>
      <c r="D96" s="494"/>
      <c r="E96" s="494"/>
      <c r="F96" s="494"/>
      <c r="G96" s="494"/>
      <c r="H96" s="494"/>
      <c r="I96" s="494"/>
      <c r="J96" s="494"/>
      <c r="K96" s="494"/>
      <c r="L96" s="494"/>
      <c r="M96" s="494"/>
      <c r="N96" s="494"/>
      <c r="O96" s="494"/>
      <c r="P96" s="494"/>
      <c r="Q96" s="494"/>
      <c r="R96" s="494"/>
      <c r="S96" s="494"/>
      <c r="T96" s="494"/>
      <c r="U96" s="494"/>
      <c r="V96" s="494"/>
      <c r="W96" s="494"/>
      <c r="X96" s="494"/>
      <c r="Y96" s="494"/>
      <c r="Z96" s="494"/>
      <c r="AA96" s="494"/>
      <c r="AB96" s="494"/>
    </row>
    <row r="97" spans="1:28" ht="13.5" thickBot="1">
      <c r="A97" s="491"/>
      <c r="B97" s="491"/>
      <c r="C97" s="491"/>
      <c r="D97" s="491"/>
      <c r="E97" s="491"/>
      <c r="F97" s="491"/>
      <c r="G97" s="491"/>
      <c r="H97" s="491"/>
      <c r="I97" s="491"/>
      <c r="J97" s="491"/>
      <c r="K97" s="491"/>
      <c r="L97" s="491"/>
      <c r="M97" s="491"/>
      <c r="N97" s="491"/>
      <c r="O97" s="491"/>
      <c r="P97" s="491"/>
      <c r="Q97" s="491"/>
      <c r="R97" s="491"/>
      <c r="S97" s="491"/>
      <c r="T97" s="491"/>
      <c r="U97" s="491"/>
      <c r="V97" s="491"/>
      <c r="W97" s="491"/>
      <c r="X97" s="491"/>
      <c r="Y97" s="491"/>
      <c r="Z97" s="491"/>
      <c r="AA97" s="491"/>
      <c r="AB97" s="491"/>
    </row>
    <row r="98" spans="1:28" ht="13.5" thickBot="1">
      <c r="A98" s="470"/>
      <c r="B98" s="369" t="s">
        <v>1121</v>
      </c>
      <c r="C98" s="369"/>
      <c r="D98" s="470"/>
      <c r="E98" s="356" t="s">
        <v>1122</v>
      </c>
      <c r="F98" s="356"/>
      <c r="G98" s="356"/>
      <c r="H98" s="356"/>
      <c r="I98" s="356"/>
      <c r="J98" s="356"/>
      <c r="K98" s="356"/>
      <c r="L98" s="356"/>
      <c r="M98" s="356"/>
      <c r="N98" s="356"/>
      <c r="O98" s="356"/>
      <c r="P98" s="356"/>
      <c r="Q98" s="356"/>
      <c r="R98" s="471"/>
      <c r="S98" s="472"/>
      <c r="T98" s="472"/>
      <c r="U98" s="472"/>
      <c r="V98" s="472"/>
      <c r="W98" s="472"/>
      <c r="X98" s="472"/>
      <c r="Y98" s="472"/>
      <c r="Z98" s="472"/>
      <c r="AA98" s="473"/>
      <c r="AB98" s="473"/>
    </row>
    <row r="99" spans="1:28" ht="12.75">
      <c r="A99" s="474"/>
      <c r="B99" s="355" t="s">
        <v>1492</v>
      </c>
      <c r="C99" s="355"/>
      <c r="D99" s="355"/>
      <c r="E99" s="354" t="s">
        <v>1123</v>
      </c>
      <c r="F99" s="354"/>
      <c r="G99" s="354"/>
      <c r="H99" s="354"/>
      <c r="I99" s="354"/>
      <c r="J99" s="354"/>
      <c r="K99" s="354"/>
      <c r="L99" s="354"/>
      <c r="M99" s="354"/>
      <c r="N99" s="354"/>
      <c r="O99" s="354"/>
      <c r="P99" s="354"/>
      <c r="Q99" s="354"/>
      <c r="R99" s="474"/>
      <c r="S99" s="475"/>
      <c r="T99" s="475"/>
      <c r="U99" s="475"/>
      <c r="V99" s="475"/>
      <c r="W99" s="475">
        <v>40393.14</v>
      </c>
      <c r="X99" s="475"/>
      <c r="Y99" s="475"/>
      <c r="Z99" s="475"/>
      <c r="AA99" s="476"/>
      <c r="AB99" s="476">
        <v>20397.8</v>
      </c>
    </row>
    <row r="100" spans="1:28" ht="12.75">
      <c r="A100" s="474"/>
      <c r="B100" s="352" t="s">
        <v>1496</v>
      </c>
      <c r="C100" s="352"/>
      <c r="D100" s="352"/>
      <c r="E100" s="343" t="s">
        <v>1124</v>
      </c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474"/>
      <c r="S100" s="477"/>
      <c r="T100" s="477"/>
      <c r="U100" s="477"/>
      <c r="V100" s="477"/>
      <c r="W100" s="477">
        <v>40393.14</v>
      </c>
      <c r="X100" s="477"/>
      <c r="Y100" s="477"/>
      <c r="Z100" s="477"/>
      <c r="AA100" s="476"/>
      <c r="AB100" s="476">
        <v>20397.8</v>
      </c>
    </row>
    <row r="101" spans="1:28" ht="13.5" thickBot="1">
      <c r="A101" s="481" t="s">
        <v>1125</v>
      </c>
      <c r="B101" s="481"/>
      <c r="C101" s="481"/>
      <c r="D101" s="481"/>
      <c r="E101" s="481"/>
      <c r="F101" s="481"/>
      <c r="G101" s="481"/>
      <c r="H101" s="481"/>
      <c r="I101" s="481"/>
      <c r="J101" s="481"/>
      <c r="K101" s="481"/>
      <c r="L101" s="481"/>
      <c r="M101" s="481"/>
      <c r="N101" s="481"/>
      <c r="O101" s="481"/>
      <c r="P101" s="481"/>
      <c r="Q101" s="481"/>
      <c r="R101" s="481"/>
      <c r="S101" s="481"/>
      <c r="T101" s="481"/>
      <c r="U101" s="481"/>
      <c r="V101" s="481"/>
      <c r="W101" s="481"/>
      <c r="X101" s="481"/>
      <c r="Y101" s="481"/>
      <c r="Z101" s="481"/>
      <c r="AA101" s="481"/>
      <c r="AB101" s="481"/>
    </row>
    <row r="102" spans="1:28" ht="12.75">
      <c r="A102" s="447" t="s">
        <v>1136</v>
      </c>
      <c r="B102" s="447"/>
      <c r="C102" s="447"/>
      <c r="D102" s="447"/>
      <c r="E102" s="447"/>
      <c r="F102" s="447"/>
      <c r="G102" s="447"/>
      <c r="H102" s="447"/>
      <c r="I102" s="447"/>
      <c r="J102" s="447"/>
      <c r="K102" s="447"/>
      <c r="L102" s="447"/>
      <c r="M102" s="448" t="s">
        <v>1127</v>
      </c>
      <c r="N102" s="448"/>
      <c r="O102" s="448"/>
      <c r="P102" s="448"/>
      <c r="Q102" s="448"/>
      <c r="R102" s="448"/>
      <c r="S102" s="448"/>
      <c r="T102" s="448"/>
      <c r="U102" s="448"/>
      <c r="V102" s="448"/>
      <c r="W102" s="448"/>
      <c r="X102" s="448"/>
      <c r="Y102" s="449" t="s">
        <v>945</v>
      </c>
      <c r="Z102" s="449"/>
      <c r="AA102" s="449"/>
      <c r="AB102" s="449"/>
    </row>
  </sheetData>
  <mergeCells count="365">
    <mergeCell ref="A101:AB101"/>
    <mergeCell ref="A102:L102"/>
    <mergeCell ref="M102:X102"/>
    <mergeCell ref="Y102:AB102"/>
    <mergeCell ref="B100:D100"/>
    <mergeCell ref="E100:Q100"/>
    <mergeCell ref="S100:V100"/>
    <mergeCell ref="W100:Z100"/>
    <mergeCell ref="B99:D99"/>
    <mergeCell ref="E99:Q99"/>
    <mergeCell ref="S99:V99"/>
    <mergeCell ref="W99:Z99"/>
    <mergeCell ref="A96:AB96"/>
    <mergeCell ref="A97:AB97"/>
    <mergeCell ref="B98:C98"/>
    <mergeCell ref="E98:Q98"/>
    <mergeCell ref="S98:V98"/>
    <mergeCell ref="W98:Z98"/>
    <mergeCell ref="B95:D95"/>
    <mergeCell ref="E95:Q95"/>
    <mergeCell ref="S95:V95"/>
    <mergeCell ref="W95:Z95"/>
    <mergeCell ref="B94:D94"/>
    <mergeCell ref="E94:Q94"/>
    <mergeCell ref="S94:V94"/>
    <mergeCell ref="W94:Z94"/>
    <mergeCell ref="A91:AB91"/>
    <mergeCell ref="A92:AB92"/>
    <mergeCell ref="B93:C93"/>
    <mergeCell ref="E93:Q93"/>
    <mergeCell ref="S93:V93"/>
    <mergeCell ref="W93:Z93"/>
    <mergeCell ref="B90:D90"/>
    <mergeCell ref="E90:Q90"/>
    <mergeCell ref="S90:V90"/>
    <mergeCell ref="W90:Z90"/>
    <mergeCell ref="B89:D89"/>
    <mergeCell ref="E89:Q89"/>
    <mergeCell ref="S89:V89"/>
    <mergeCell ref="W89:Z89"/>
    <mergeCell ref="B88:D88"/>
    <mergeCell ref="E88:Q88"/>
    <mergeCell ref="S88:V88"/>
    <mergeCell ref="W88:Z88"/>
    <mergeCell ref="B87:D87"/>
    <mergeCell ref="E87:Q87"/>
    <mergeCell ref="S87:V87"/>
    <mergeCell ref="W87:Z87"/>
    <mergeCell ref="B86:D86"/>
    <mergeCell ref="E86:Q86"/>
    <mergeCell ref="S86:V86"/>
    <mergeCell ref="W86:Z86"/>
    <mergeCell ref="A84:AB84"/>
    <mergeCell ref="B85:C85"/>
    <mergeCell ref="E85:Q85"/>
    <mergeCell ref="S85:V85"/>
    <mergeCell ref="W85:Z85"/>
    <mergeCell ref="B83:D83"/>
    <mergeCell ref="E83:Q83"/>
    <mergeCell ref="S83:V83"/>
    <mergeCell ref="W83:Z83"/>
    <mergeCell ref="B82:D82"/>
    <mergeCell ref="E82:Q82"/>
    <mergeCell ref="S82:V82"/>
    <mergeCell ref="W82:Z82"/>
    <mergeCell ref="B81:D81"/>
    <mergeCell ref="E81:Q81"/>
    <mergeCell ref="S81:V81"/>
    <mergeCell ref="W81:Z81"/>
    <mergeCell ref="B80:D80"/>
    <mergeCell ref="E80:Q80"/>
    <mergeCell ref="S80:V80"/>
    <mergeCell ref="W80:Z80"/>
    <mergeCell ref="B79:D79"/>
    <mergeCell ref="E79:Q79"/>
    <mergeCell ref="S79:V79"/>
    <mergeCell ref="W79:Z79"/>
    <mergeCell ref="B78:D78"/>
    <mergeCell ref="E78:Q78"/>
    <mergeCell ref="S78:V78"/>
    <mergeCell ref="W78:Z78"/>
    <mergeCell ref="B77:D77"/>
    <mergeCell ref="E77:Q77"/>
    <mergeCell ref="S77:V77"/>
    <mergeCell ref="W77:Z77"/>
    <mergeCell ref="B76:D76"/>
    <mergeCell ref="E76:Q76"/>
    <mergeCell ref="S76:V76"/>
    <mergeCell ref="W76:Z76"/>
    <mergeCell ref="B75:D75"/>
    <mergeCell ref="E75:Q75"/>
    <mergeCell ref="S75:V75"/>
    <mergeCell ref="W75:Z75"/>
    <mergeCell ref="B74:D74"/>
    <mergeCell ref="E74:Q74"/>
    <mergeCell ref="S74:V74"/>
    <mergeCell ref="W74:Z74"/>
    <mergeCell ref="B73:D73"/>
    <mergeCell ref="E73:Q73"/>
    <mergeCell ref="S73:V73"/>
    <mergeCell ref="W73:Z73"/>
    <mergeCell ref="B72:D72"/>
    <mergeCell ref="E72:Q72"/>
    <mergeCell ref="S72:V72"/>
    <mergeCell ref="W72:Z72"/>
    <mergeCell ref="B71:D71"/>
    <mergeCell ref="E71:Q71"/>
    <mergeCell ref="S71:V71"/>
    <mergeCell ref="W71:Z71"/>
    <mergeCell ref="B70:D70"/>
    <mergeCell ref="E70:Q70"/>
    <mergeCell ref="S70:V70"/>
    <mergeCell ref="W70:Z70"/>
    <mergeCell ref="W67:Z67"/>
    <mergeCell ref="A68:AB68"/>
    <mergeCell ref="B69:C69"/>
    <mergeCell ref="E69:Q69"/>
    <mergeCell ref="S69:V69"/>
    <mergeCell ref="W69:Z69"/>
    <mergeCell ref="A67:B67"/>
    <mergeCell ref="C67:D67"/>
    <mergeCell ref="E67:Q67"/>
    <mergeCell ref="S67:V67"/>
    <mergeCell ref="B66:D66"/>
    <mergeCell ref="E66:Q66"/>
    <mergeCell ref="S66:V66"/>
    <mergeCell ref="W66:Z66"/>
    <mergeCell ref="B65:D65"/>
    <mergeCell ref="E65:Q65"/>
    <mergeCell ref="S65:V65"/>
    <mergeCell ref="W65:Z65"/>
    <mergeCell ref="A63:AB63"/>
    <mergeCell ref="B64:C64"/>
    <mergeCell ref="E64:Q64"/>
    <mergeCell ref="S64:V64"/>
    <mergeCell ref="W64:Z64"/>
    <mergeCell ref="B62:D62"/>
    <mergeCell ref="E62:Q62"/>
    <mergeCell ref="S62:V62"/>
    <mergeCell ref="W62:Z62"/>
    <mergeCell ref="B61:D61"/>
    <mergeCell ref="E61:Q61"/>
    <mergeCell ref="S61:V61"/>
    <mergeCell ref="W61:Z61"/>
    <mergeCell ref="B60:C60"/>
    <mergeCell ref="E60:Q60"/>
    <mergeCell ref="S60:V60"/>
    <mergeCell ref="W60:Z60"/>
    <mergeCell ref="W58:Z58"/>
    <mergeCell ref="A59:D59"/>
    <mergeCell ref="E59:P59"/>
    <mergeCell ref="Q59:R59"/>
    <mergeCell ref="S59:V59"/>
    <mergeCell ref="W59:Z59"/>
    <mergeCell ref="A58:D58"/>
    <mergeCell ref="E58:P58"/>
    <mergeCell ref="Q58:R58"/>
    <mergeCell ref="S58:V58"/>
    <mergeCell ref="A56:AB56"/>
    <mergeCell ref="A57:D57"/>
    <mergeCell ref="E57:P57"/>
    <mergeCell ref="Q57:R57"/>
    <mergeCell ref="S57:Z57"/>
    <mergeCell ref="AA57:AB57"/>
    <mergeCell ref="B55:D55"/>
    <mergeCell ref="E55:Q55"/>
    <mergeCell ref="S55:V55"/>
    <mergeCell ref="W55:Z55"/>
    <mergeCell ref="B54:D54"/>
    <mergeCell ref="E54:Q54"/>
    <mergeCell ref="S54:V54"/>
    <mergeCell ref="W54:Z54"/>
    <mergeCell ref="B53:D53"/>
    <mergeCell ref="E53:Q53"/>
    <mergeCell ref="S53:V53"/>
    <mergeCell ref="W53:Z53"/>
    <mergeCell ref="B52:D52"/>
    <mergeCell ref="E52:Q52"/>
    <mergeCell ref="S52:V52"/>
    <mergeCell ref="W52:Z52"/>
    <mergeCell ref="B51:D51"/>
    <mergeCell ref="E51:Q51"/>
    <mergeCell ref="S51:V51"/>
    <mergeCell ref="W51:Z51"/>
    <mergeCell ref="A49:AB49"/>
    <mergeCell ref="B50:C50"/>
    <mergeCell ref="E50:Q50"/>
    <mergeCell ref="S50:V50"/>
    <mergeCell ref="W50:Z50"/>
    <mergeCell ref="B48:D48"/>
    <mergeCell ref="E48:Q48"/>
    <mergeCell ref="S48:V48"/>
    <mergeCell ref="W48:Z48"/>
    <mergeCell ref="B47:D47"/>
    <mergeCell ref="E47:Q47"/>
    <mergeCell ref="S47:V47"/>
    <mergeCell ref="W47:Z47"/>
    <mergeCell ref="B46:D46"/>
    <mergeCell ref="E46:Q46"/>
    <mergeCell ref="S46:V46"/>
    <mergeCell ref="W46:Z46"/>
    <mergeCell ref="B45:D45"/>
    <mergeCell ref="E45:Q45"/>
    <mergeCell ref="S45:V45"/>
    <mergeCell ref="W45:Z45"/>
    <mergeCell ref="B44:D44"/>
    <mergeCell ref="E44:Q44"/>
    <mergeCell ref="S44:V44"/>
    <mergeCell ref="W44:Z44"/>
    <mergeCell ref="B43:D43"/>
    <mergeCell ref="E43:Q43"/>
    <mergeCell ref="S43:V43"/>
    <mergeCell ref="W43:Z43"/>
    <mergeCell ref="B42:D42"/>
    <mergeCell ref="E42:Q42"/>
    <mergeCell ref="S42:V42"/>
    <mergeCell ref="W42:Z42"/>
    <mergeCell ref="B41:D41"/>
    <mergeCell ref="E41:Q41"/>
    <mergeCell ref="S41:V41"/>
    <mergeCell ref="W41:Z41"/>
    <mergeCell ref="B40:D40"/>
    <mergeCell ref="E40:Q40"/>
    <mergeCell ref="S40:V40"/>
    <mergeCell ref="W40:Z40"/>
    <mergeCell ref="B39:D39"/>
    <mergeCell ref="E39:Q39"/>
    <mergeCell ref="S39:V39"/>
    <mergeCell ref="W39:Z39"/>
    <mergeCell ref="B38:D38"/>
    <mergeCell ref="E38:Q38"/>
    <mergeCell ref="S38:V38"/>
    <mergeCell ref="W38:Z38"/>
    <mergeCell ref="B37:D37"/>
    <mergeCell ref="E37:Q37"/>
    <mergeCell ref="S37:V37"/>
    <mergeCell ref="W37:Z37"/>
    <mergeCell ref="B36:D36"/>
    <mergeCell ref="E36:Q36"/>
    <mergeCell ref="S36:V36"/>
    <mergeCell ref="W36:Z36"/>
    <mergeCell ref="B35:D35"/>
    <mergeCell ref="E35:Q35"/>
    <mergeCell ref="S35:V35"/>
    <mergeCell ref="W35:Z35"/>
    <mergeCell ref="B34:D34"/>
    <mergeCell ref="E34:Q34"/>
    <mergeCell ref="S34:V34"/>
    <mergeCell ref="W34:Z34"/>
    <mergeCell ref="B33:D33"/>
    <mergeCell ref="E33:Q33"/>
    <mergeCell ref="S33:V33"/>
    <mergeCell ref="W33:Z33"/>
    <mergeCell ref="B32:D32"/>
    <mergeCell ref="E32:Q32"/>
    <mergeCell ref="S32:V32"/>
    <mergeCell ref="W32:Z32"/>
    <mergeCell ref="B31:D31"/>
    <mergeCell ref="E31:Q31"/>
    <mergeCell ref="S31:V31"/>
    <mergeCell ref="W31:Z31"/>
    <mergeCell ref="B30:D30"/>
    <mergeCell ref="E30:Q30"/>
    <mergeCell ref="S30:V30"/>
    <mergeCell ref="W30:Z30"/>
    <mergeCell ref="B29:D29"/>
    <mergeCell ref="E29:Q29"/>
    <mergeCell ref="S29:V29"/>
    <mergeCell ref="W29:Z29"/>
    <mergeCell ref="B28:D28"/>
    <mergeCell ref="E28:Q28"/>
    <mergeCell ref="S28:V28"/>
    <mergeCell ref="W28:Z28"/>
    <mergeCell ref="B27:D27"/>
    <mergeCell ref="E27:Q27"/>
    <mergeCell ref="S27:V27"/>
    <mergeCell ref="W27:Z27"/>
    <mergeCell ref="B26:D26"/>
    <mergeCell ref="E26:Q26"/>
    <mergeCell ref="S26:V26"/>
    <mergeCell ref="W26:Z26"/>
    <mergeCell ref="B25:D25"/>
    <mergeCell ref="E25:Q25"/>
    <mergeCell ref="S25:V25"/>
    <mergeCell ref="W25:Z25"/>
    <mergeCell ref="B24:D24"/>
    <mergeCell ref="E24:Q24"/>
    <mergeCell ref="S24:V24"/>
    <mergeCell ref="W24:Z24"/>
    <mergeCell ref="B23:D23"/>
    <mergeCell ref="E23:Q23"/>
    <mergeCell ref="S23:V23"/>
    <mergeCell ref="W23:Z23"/>
    <mergeCell ref="B22:D22"/>
    <mergeCell ref="E22:Q22"/>
    <mergeCell ref="S22:V22"/>
    <mergeCell ref="W22:Z22"/>
    <mergeCell ref="B21:D21"/>
    <mergeCell ref="E21:Q21"/>
    <mergeCell ref="S21:V21"/>
    <mergeCell ref="W21:Z21"/>
    <mergeCell ref="B20:D20"/>
    <mergeCell ref="E20:Q20"/>
    <mergeCell ref="S20:V20"/>
    <mergeCell ref="W20:Z20"/>
    <mergeCell ref="B19:D19"/>
    <mergeCell ref="E19:Q19"/>
    <mergeCell ref="S19:V19"/>
    <mergeCell ref="W19:Z19"/>
    <mergeCell ref="B18:D18"/>
    <mergeCell ref="E18:Q18"/>
    <mergeCell ref="S18:V18"/>
    <mergeCell ref="W18:Z18"/>
    <mergeCell ref="B17:D17"/>
    <mergeCell ref="E17:Q17"/>
    <mergeCell ref="S17:V17"/>
    <mergeCell ref="W17:Z17"/>
    <mergeCell ref="B16:D16"/>
    <mergeCell ref="E16:Q16"/>
    <mergeCell ref="S16:V16"/>
    <mergeCell ref="W16:Z16"/>
    <mergeCell ref="B15:D15"/>
    <mergeCell ref="E15:Q15"/>
    <mergeCell ref="S15:V15"/>
    <mergeCell ref="W15:Z15"/>
    <mergeCell ref="B14:D14"/>
    <mergeCell ref="E14:Q14"/>
    <mergeCell ref="S14:V14"/>
    <mergeCell ref="W14:Z14"/>
    <mergeCell ref="W11:Z11"/>
    <mergeCell ref="A12:AB12"/>
    <mergeCell ref="B13:C13"/>
    <mergeCell ref="E13:Q13"/>
    <mergeCell ref="S13:V13"/>
    <mergeCell ref="W13:Z13"/>
    <mergeCell ref="A11:B11"/>
    <mergeCell ref="C11:D11"/>
    <mergeCell ref="E11:Q11"/>
    <mergeCell ref="S11:V11"/>
    <mergeCell ref="W9:Z9"/>
    <mergeCell ref="A10:D10"/>
    <mergeCell ref="E10:P10"/>
    <mergeCell ref="Q10:R10"/>
    <mergeCell ref="S10:V10"/>
    <mergeCell ref="W10:Z10"/>
    <mergeCell ref="A9:D9"/>
    <mergeCell ref="E9:P9"/>
    <mergeCell ref="Q9:R9"/>
    <mergeCell ref="S9:V9"/>
    <mergeCell ref="A7:AB7"/>
    <mergeCell ref="A8:D8"/>
    <mergeCell ref="E8:P8"/>
    <mergeCell ref="Q8:R8"/>
    <mergeCell ref="S8:Z8"/>
    <mergeCell ref="AA8:AB8"/>
    <mergeCell ref="A4:H4"/>
    <mergeCell ref="I4:AB4"/>
    <mergeCell ref="A5:H5"/>
    <mergeCell ref="A6:H6"/>
    <mergeCell ref="A1:H1"/>
    <mergeCell ref="A2:H2"/>
    <mergeCell ref="I2:AB2"/>
    <mergeCell ref="A3:B3"/>
    <mergeCell ref="C3:H3"/>
    <mergeCell ref="I3:AB3"/>
  </mergeCells>
  <printOptions/>
  <pageMargins left="0.3937007874015748" right="0.3937007874015748" top="0.5905511811023623" bottom="0.5905511811023623" header="0.31496062992125984" footer="0.31496062992125984"/>
  <pageSetup horizontalDpi="200" verticalDpi="2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00"/>
  <sheetViews>
    <sheetView workbookViewId="0" topLeftCell="A1">
      <selection activeCell="S15" sqref="S15:V15"/>
    </sheetView>
  </sheetViews>
  <sheetFormatPr defaultColWidth="9.140625" defaultRowHeight="12.75"/>
  <cols>
    <col min="1" max="4" width="1.57421875" style="0" customWidth="1"/>
    <col min="5" max="5" width="4.57421875" style="0" customWidth="1"/>
    <col min="6" max="7" width="7.421875" style="0" customWidth="1"/>
    <col min="8" max="8" width="1.57421875" style="0" customWidth="1"/>
    <col min="9" max="9" width="5.8515625" style="0" customWidth="1"/>
    <col min="10" max="10" width="4.57421875" style="0" customWidth="1"/>
    <col min="11" max="11" width="1.57421875" style="0" customWidth="1"/>
    <col min="12" max="12" width="5.8515625" style="0" customWidth="1"/>
    <col min="13" max="14" width="1.57421875" style="0" customWidth="1"/>
    <col min="15" max="15" width="7.421875" style="0" customWidth="1"/>
    <col min="16" max="16" width="9.00390625" style="0" customWidth="1"/>
    <col min="17" max="17" width="3.00390625" style="0" customWidth="1"/>
    <col min="18" max="18" width="4.57421875" style="0" customWidth="1"/>
    <col min="19" max="19" width="7.421875" style="0" customWidth="1"/>
    <col min="20" max="20" width="1.57421875" style="0" customWidth="1"/>
    <col min="21" max="21" width="9.00390625" style="0" customWidth="1"/>
    <col min="22" max="22" width="1.57421875" style="0" customWidth="1"/>
    <col min="23" max="23" width="9.00390625" style="0" customWidth="1"/>
    <col min="24" max="24" width="4.57421875" style="0" customWidth="1"/>
    <col min="25" max="25" width="1.57421875" style="0" customWidth="1"/>
    <col min="26" max="26" width="4.57421875" style="0" customWidth="1"/>
    <col min="27" max="28" width="19.421875" style="0" customWidth="1"/>
  </cols>
  <sheetData>
    <row r="1" spans="1:28" ht="13.5" customHeight="1" thickBot="1">
      <c r="A1" s="389" t="s">
        <v>946</v>
      </c>
      <c r="B1" s="389"/>
      <c r="C1" s="389"/>
      <c r="D1" s="389"/>
      <c r="E1" s="389"/>
      <c r="F1" s="389"/>
      <c r="G1" s="389"/>
      <c r="H1" s="389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3" t="s">
        <v>1141</v>
      </c>
    </row>
    <row r="2" spans="1:28" ht="20.25" customHeight="1">
      <c r="A2" s="343"/>
      <c r="B2" s="343"/>
      <c r="C2" s="343"/>
      <c r="D2" s="343"/>
      <c r="E2" s="343"/>
      <c r="F2" s="343"/>
      <c r="G2" s="343"/>
      <c r="H2" s="343"/>
      <c r="I2" s="341" t="s">
        <v>948</v>
      </c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</row>
    <row r="3" spans="1:28" ht="12.75">
      <c r="A3" s="343"/>
      <c r="B3" s="343"/>
      <c r="C3" s="392"/>
      <c r="D3" s="392"/>
      <c r="E3" s="392"/>
      <c r="F3" s="392"/>
      <c r="G3" s="392"/>
      <c r="H3" s="392"/>
      <c r="I3" s="348" t="s">
        <v>949</v>
      </c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</row>
    <row r="4" spans="1:28" ht="12.75">
      <c r="A4" s="343"/>
      <c r="B4" s="343"/>
      <c r="C4" s="343"/>
      <c r="D4" s="343"/>
      <c r="E4" s="343"/>
      <c r="F4" s="343"/>
      <c r="G4" s="343"/>
      <c r="H4" s="343"/>
      <c r="I4" s="343" t="s">
        <v>950</v>
      </c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</row>
    <row r="5" spans="1:28" ht="12.75" customHeight="1">
      <c r="A5" s="343"/>
      <c r="B5" s="343"/>
      <c r="C5" s="343"/>
      <c r="D5" s="343"/>
      <c r="E5" s="343"/>
      <c r="F5" s="343"/>
      <c r="G5" s="343"/>
      <c r="H5" s="343"/>
      <c r="I5" s="484" t="s">
        <v>951</v>
      </c>
      <c r="J5" s="484"/>
      <c r="K5" s="485" t="s">
        <v>952</v>
      </c>
      <c r="L5" s="485"/>
      <c r="M5" s="485"/>
      <c r="N5" s="485"/>
      <c r="O5" s="485"/>
      <c r="P5" s="485"/>
      <c r="Q5" s="485"/>
      <c r="R5" s="485"/>
      <c r="S5" s="485"/>
      <c r="T5" s="485"/>
      <c r="U5" s="486" t="s">
        <v>1543</v>
      </c>
      <c r="V5" s="485"/>
      <c r="W5" s="485" t="s">
        <v>1142</v>
      </c>
      <c r="X5" s="485"/>
      <c r="Y5" s="485"/>
      <c r="Z5" s="485"/>
      <c r="AA5" s="485"/>
      <c r="AB5" s="485"/>
    </row>
    <row r="6" spans="1:28" ht="12.75" customHeight="1">
      <c r="A6" s="343"/>
      <c r="B6" s="343"/>
      <c r="C6" s="343"/>
      <c r="D6" s="343"/>
      <c r="E6" s="343"/>
      <c r="F6" s="343"/>
      <c r="G6" s="343"/>
      <c r="H6" s="343"/>
      <c r="J6" s="486"/>
      <c r="L6" s="485"/>
      <c r="M6" s="485"/>
      <c r="N6" s="485"/>
      <c r="O6" s="485"/>
      <c r="P6" s="485"/>
      <c r="Q6" s="485"/>
      <c r="R6" s="485"/>
      <c r="S6" s="485"/>
      <c r="T6" s="485"/>
      <c r="U6" s="489" t="s">
        <v>954</v>
      </c>
      <c r="V6" s="485"/>
      <c r="W6" s="490" t="s">
        <v>1143</v>
      </c>
      <c r="X6" s="485"/>
      <c r="Y6" s="485"/>
      <c r="Z6" s="485"/>
      <c r="AA6" s="485"/>
      <c r="AB6" s="485"/>
    </row>
    <row r="7" spans="1:28" ht="4.5" customHeight="1" thickBot="1">
      <c r="A7" s="492"/>
      <c r="B7" s="492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</row>
    <row r="8" spans="1:28" ht="9.75" customHeight="1" thickBot="1">
      <c r="A8" s="350" t="s">
        <v>956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1" t="s">
        <v>957</v>
      </c>
      <c r="R8" s="451"/>
      <c r="S8" s="452" t="s">
        <v>958</v>
      </c>
      <c r="T8" s="453"/>
      <c r="U8" s="453"/>
      <c r="V8" s="453"/>
      <c r="W8" s="453"/>
      <c r="X8" s="453"/>
      <c r="Y8" s="453"/>
      <c r="Z8" s="454"/>
      <c r="AA8" s="452" t="s">
        <v>959</v>
      </c>
      <c r="AB8" s="453"/>
    </row>
    <row r="9" spans="1:28" ht="9.75" customHeight="1">
      <c r="A9" s="455" t="s">
        <v>960</v>
      </c>
      <c r="B9" s="455"/>
      <c r="C9" s="455"/>
      <c r="D9" s="455"/>
      <c r="E9" s="455" t="s">
        <v>2124</v>
      </c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6" t="s">
        <v>961</v>
      </c>
      <c r="R9" s="457"/>
      <c r="S9" s="458" t="s">
        <v>1339</v>
      </c>
      <c r="T9" s="351"/>
      <c r="U9" s="351"/>
      <c r="V9" s="351"/>
      <c r="W9" s="351" t="s">
        <v>962</v>
      </c>
      <c r="X9" s="351"/>
      <c r="Y9" s="351"/>
      <c r="Z9" s="451"/>
      <c r="AA9" s="459" t="s">
        <v>1339</v>
      </c>
      <c r="AB9" s="459" t="s">
        <v>962</v>
      </c>
    </row>
    <row r="10" spans="1:28" ht="9.75" customHeight="1" thickBot="1">
      <c r="A10" s="460"/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1"/>
      <c r="R10" s="462"/>
      <c r="S10" s="463" t="s">
        <v>1659</v>
      </c>
      <c r="T10" s="464"/>
      <c r="U10" s="464"/>
      <c r="V10" s="464"/>
      <c r="W10" s="461" t="s">
        <v>1729</v>
      </c>
      <c r="X10" s="461"/>
      <c r="Y10" s="461"/>
      <c r="Z10" s="462"/>
      <c r="AA10" s="465" t="s">
        <v>2336</v>
      </c>
      <c r="AB10" s="466" t="s">
        <v>1785</v>
      </c>
    </row>
    <row r="11" spans="1:28" ht="13.5" thickBot="1">
      <c r="A11" s="363" t="s">
        <v>963</v>
      </c>
      <c r="B11" s="363"/>
      <c r="C11" s="363"/>
      <c r="D11" s="363"/>
      <c r="E11" s="363" t="s">
        <v>964</v>
      </c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467"/>
      <c r="S11" s="468">
        <v>27588414.38</v>
      </c>
      <c r="T11" s="468"/>
      <c r="U11" s="468"/>
      <c r="V11" s="468"/>
      <c r="W11" s="468">
        <v>810276.01</v>
      </c>
      <c r="X11" s="468"/>
      <c r="Y11" s="468"/>
      <c r="Z11" s="468"/>
      <c r="AA11" s="469">
        <v>25000994.27</v>
      </c>
      <c r="AB11" s="469">
        <v>736785.8</v>
      </c>
    </row>
    <row r="12" spans="1:28" ht="4.5" customHeight="1" thickBot="1">
      <c r="A12" s="493"/>
      <c r="B12" s="493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</row>
    <row r="13" spans="1:28" ht="13.5" thickBot="1">
      <c r="A13" s="470"/>
      <c r="B13" s="369" t="s">
        <v>965</v>
      </c>
      <c r="C13" s="369"/>
      <c r="D13" s="470"/>
      <c r="E13" s="356" t="s">
        <v>966</v>
      </c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471"/>
      <c r="S13" s="472">
        <v>27588414.38</v>
      </c>
      <c r="T13" s="472"/>
      <c r="U13" s="472"/>
      <c r="V13" s="472"/>
      <c r="W13" s="472">
        <v>810276.01</v>
      </c>
      <c r="X13" s="472"/>
      <c r="Y13" s="472"/>
      <c r="Z13" s="472"/>
      <c r="AA13" s="473">
        <v>24893274.27</v>
      </c>
      <c r="AB13" s="473">
        <v>736392.8</v>
      </c>
    </row>
    <row r="14" spans="1:28" ht="10.5" customHeight="1">
      <c r="A14" s="474"/>
      <c r="B14" s="355" t="s">
        <v>1492</v>
      </c>
      <c r="C14" s="355"/>
      <c r="D14" s="355"/>
      <c r="E14" s="354" t="s">
        <v>967</v>
      </c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474" t="s">
        <v>1809</v>
      </c>
      <c r="S14" s="475">
        <v>1270135.58</v>
      </c>
      <c r="T14" s="475"/>
      <c r="U14" s="475"/>
      <c r="V14" s="475"/>
      <c r="W14" s="475">
        <v>64013</v>
      </c>
      <c r="X14" s="475"/>
      <c r="Y14" s="475"/>
      <c r="Z14" s="475"/>
      <c r="AA14" s="476">
        <v>1517585.21</v>
      </c>
      <c r="AB14" s="476">
        <v>27599</v>
      </c>
    </row>
    <row r="15" spans="1:28" ht="10.5" customHeight="1">
      <c r="A15" s="474"/>
      <c r="B15" s="352" t="s">
        <v>1496</v>
      </c>
      <c r="C15" s="352"/>
      <c r="D15" s="352"/>
      <c r="E15" s="343" t="s">
        <v>968</v>
      </c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474" t="s">
        <v>1820</v>
      </c>
      <c r="S15" s="477">
        <v>1514393.7</v>
      </c>
      <c r="T15" s="477"/>
      <c r="U15" s="477"/>
      <c r="V15" s="477"/>
      <c r="W15" s="477">
        <v>55099.33</v>
      </c>
      <c r="X15" s="477"/>
      <c r="Y15" s="477"/>
      <c r="Z15" s="477"/>
      <c r="AA15" s="476">
        <v>1350748.49</v>
      </c>
      <c r="AB15" s="476">
        <v>69472</v>
      </c>
    </row>
    <row r="16" spans="1:28" ht="10.5" customHeight="1">
      <c r="A16" s="474"/>
      <c r="B16" s="352" t="s">
        <v>1500</v>
      </c>
      <c r="C16" s="352"/>
      <c r="D16" s="352"/>
      <c r="E16" s="343" t="s">
        <v>969</v>
      </c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474" t="s">
        <v>1840</v>
      </c>
      <c r="S16" s="477"/>
      <c r="T16" s="477"/>
      <c r="U16" s="477"/>
      <c r="V16" s="477"/>
      <c r="W16" s="477"/>
      <c r="X16" s="477"/>
      <c r="Y16" s="477"/>
      <c r="Z16" s="477"/>
      <c r="AA16" s="476"/>
      <c r="AB16" s="476"/>
    </row>
    <row r="17" spans="1:28" ht="10.5" customHeight="1">
      <c r="A17" s="474"/>
      <c r="B17" s="352" t="s">
        <v>1506</v>
      </c>
      <c r="C17" s="352"/>
      <c r="D17" s="352"/>
      <c r="E17" s="343" t="s">
        <v>970</v>
      </c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474" t="s">
        <v>971</v>
      </c>
      <c r="S17" s="477"/>
      <c r="T17" s="477"/>
      <c r="U17" s="477"/>
      <c r="V17" s="477"/>
      <c r="W17" s="477">
        <v>135451.22</v>
      </c>
      <c r="X17" s="477"/>
      <c r="Y17" s="477"/>
      <c r="Z17" s="477"/>
      <c r="AA17" s="476"/>
      <c r="AB17" s="476">
        <v>181934.8</v>
      </c>
    </row>
    <row r="18" spans="1:28" ht="10.5" customHeight="1">
      <c r="A18" s="474"/>
      <c r="B18" s="352" t="s">
        <v>1512</v>
      </c>
      <c r="C18" s="352"/>
      <c r="D18" s="352"/>
      <c r="E18" s="343" t="s">
        <v>972</v>
      </c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474" t="s">
        <v>973</v>
      </c>
      <c r="S18" s="477"/>
      <c r="T18" s="477"/>
      <c r="U18" s="477"/>
      <c r="V18" s="477"/>
      <c r="W18" s="477"/>
      <c r="X18" s="477"/>
      <c r="Y18" s="477"/>
      <c r="Z18" s="477"/>
      <c r="AA18" s="476"/>
      <c r="AB18" s="476"/>
    </row>
    <row r="19" spans="1:28" ht="10.5" customHeight="1">
      <c r="A19" s="474"/>
      <c r="B19" s="352" t="s">
        <v>1515</v>
      </c>
      <c r="C19" s="352"/>
      <c r="D19" s="352"/>
      <c r="E19" s="343" t="s">
        <v>974</v>
      </c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474" t="s">
        <v>975</v>
      </c>
      <c r="S19" s="477"/>
      <c r="T19" s="477"/>
      <c r="U19" s="477"/>
      <c r="V19" s="477"/>
      <c r="W19" s="477"/>
      <c r="X19" s="477"/>
      <c r="Y19" s="477"/>
      <c r="Z19" s="477"/>
      <c r="AA19" s="476"/>
      <c r="AB19" s="476"/>
    </row>
    <row r="20" spans="1:28" ht="10.5" customHeight="1">
      <c r="A20" s="474"/>
      <c r="B20" s="352" t="s">
        <v>1521</v>
      </c>
      <c r="C20" s="352"/>
      <c r="D20" s="352"/>
      <c r="E20" s="343" t="s">
        <v>976</v>
      </c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474" t="s">
        <v>977</v>
      </c>
      <c r="S20" s="477"/>
      <c r="T20" s="477"/>
      <c r="U20" s="477"/>
      <c r="V20" s="477"/>
      <c r="W20" s="477"/>
      <c r="X20" s="477"/>
      <c r="Y20" s="477"/>
      <c r="Z20" s="477"/>
      <c r="AA20" s="476"/>
      <c r="AB20" s="476"/>
    </row>
    <row r="21" spans="1:28" ht="10.5" customHeight="1">
      <c r="A21" s="474"/>
      <c r="B21" s="352" t="s">
        <v>1527</v>
      </c>
      <c r="C21" s="352"/>
      <c r="D21" s="352"/>
      <c r="E21" s="343" t="s">
        <v>1941</v>
      </c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474" t="s">
        <v>978</v>
      </c>
      <c r="S21" s="477">
        <v>355321</v>
      </c>
      <c r="T21" s="477"/>
      <c r="U21" s="477"/>
      <c r="V21" s="477"/>
      <c r="W21" s="477"/>
      <c r="X21" s="477"/>
      <c r="Y21" s="477"/>
      <c r="Z21" s="477"/>
      <c r="AA21" s="476">
        <v>400360</v>
      </c>
      <c r="AB21" s="476"/>
    </row>
    <row r="22" spans="1:28" ht="10.5" customHeight="1">
      <c r="A22" s="474"/>
      <c r="B22" s="352" t="s">
        <v>1529</v>
      </c>
      <c r="C22" s="352"/>
      <c r="D22" s="352"/>
      <c r="E22" s="343" t="s">
        <v>979</v>
      </c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474" t="s">
        <v>980</v>
      </c>
      <c r="S22" s="477">
        <v>6295</v>
      </c>
      <c r="T22" s="477"/>
      <c r="U22" s="477"/>
      <c r="V22" s="477"/>
      <c r="W22" s="477"/>
      <c r="X22" s="477"/>
      <c r="Y22" s="477"/>
      <c r="Z22" s="477"/>
      <c r="AA22" s="476">
        <v>5185</v>
      </c>
      <c r="AB22" s="476"/>
    </row>
    <row r="23" spans="1:28" ht="10.5" customHeight="1">
      <c r="A23" s="474"/>
      <c r="B23" s="352" t="s">
        <v>1531</v>
      </c>
      <c r="C23" s="352"/>
      <c r="D23" s="352"/>
      <c r="E23" s="343" t="s">
        <v>981</v>
      </c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474" t="s">
        <v>1870</v>
      </c>
      <c r="S23" s="477">
        <v>10628</v>
      </c>
      <c r="T23" s="477"/>
      <c r="U23" s="477"/>
      <c r="V23" s="477"/>
      <c r="W23" s="477">
        <v>1245</v>
      </c>
      <c r="X23" s="477"/>
      <c r="Y23" s="477"/>
      <c r="Z23" s="477"/>
      <c r="AA23" s="476">
        <v>8016</v>
      </c>
      <c r="AB23" s="476">
        <v>1799</v>
      </c>
    </row>
    <row r="24" spans="1:28" ht="10.5" customHeight="1">
      <c r="A24" s="474"/>
      <c r="B24" s="352" t="s">
        <v>982</v>
      </c>
      <c r="C24" s="352"/>
      <c r="D24" s="352"/>
      <c r="E24" s="343" t="s">
        <v>983</v>
      </c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474" t="s">
        <v>1935</v>
      </c>
      <c r="S24" s="477"/>
      <c r="T24" s="477"/>
      <c r="U24" s="477"/>
      <c r="V24" s="477"/>
      <c r="W24" s="477"/>
      <c r="X24" s="477"/>
      <c r="Y24" s="477"/>
      <c r="Z24" s="477"/>
      <c r="AA24" s="476"/>
      <c r="AB24" s="476"/>
    </row>
    <row r="25" spans="1:28" ht="10.5" customHeight="1">
      <c r="A25" s="474"/>
      <c r="B25" s="352" t="s">
        <v>984</v>
      </c>
      <c r="C25" s="352"/>
      <c r="D25" s="352"/>
      <c r="E25" s="343" t="s">
        <v>985</v>
      </c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474" t="s">
        <v>986</v>
      </c>
      <c r="S25" s="477">
        <v>2112804.23</v>
      </c>
      <c r="T25" s="477"/>
      <c r="U25" s="477"/>
      <c r="V25" s="477"/>
      <c r="W25" s="477">
        <v>97579.15</v>
      </c>
      <c r="X25" s="477"/>
      <c r="Y25" s="477"/>
      <c r="Z25" s="477"/>
      <c r="AA25" s="476">
        <v>2038949.25</v>
      </c>
      <c r="AB25" s="476">
        <v>47869</v>
      </c>
    </row>
    <row r="26" spans="1:28" ht="10.5" customHeight="1">
      <c r="A26" s="474"/>
      <c r="B26" s="352" t="s">
        <v>987</v>
      </c>
      <c r="C26" s="352"/>
      <c r="D26" s="352"/>
      <c r="E26" s="343" t="s">
        <v>988</v>
      </c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474" t="s">
        <v>989</v>
      </c>
      <c r="S26" s="477">
        <v>15953361</v>
      </c>
      <c r="T26" s="477"/>
      <c r="U26" s="477"/>
      <c r="V26" s="477"/>
      <c r="W26" s="477">
        <v>421950</v>
      </c>
      <c r="X26" s="477"/>
      <c r="Y26" s="477"/>
      <c r="Z26" s="477"/>
      <c r="AA26" s="476">
        <v>14408285</v>
      </c>
      <c r="AB26" s="476">
        <v>332695</v>
      </c>
    </row>
    <row r="27" spans="1:28" ht="10.5" customHeight="1">
      <c r="A27" s="474"/>
      <c r="B27" s="352" t="s">
        <v>990</v>
      </c>
      <c r="C27" s="352"/>
      <c r="D27" s="352"/>
      <c r="E27" s="343" t="s">
        <v>991</v>
      </c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474" t="s">
        <v>992</v>
      </c>
      <c r="S27" s="477">
        <v>5398750</v>
      </c>
      <c r="T27" s="477"/>
      <c r="U27" s="477"/>
      <c r="V27" s="477"/>
      <c r="W27" s="477">
        <v>22100</v>
      </c>
      <c r="X27" s="477"/>
      <c r="Y27" s="477"/>
      <c r="Z27" s="477"/>
      <c r="AA27" s="476">
        <v>4891256</v>
      </c>
      <c r="AB27" s="476">
        <v>74946</v>
      </c>
    </row>
    <row r="28" spans="1:28" ht="10.5" customHeight="1">
      <c r="A28" s="474"/>
      <c r="B28" s="352" t="s">
        <v>993</v>
      </c>
      <c r="C28" s="352"/>
      <c r="D28" s="352"/>
      <c r="E28" s="343" t="s">
        <v>994</v>
      </c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474" t="s">
        <v>995</v>
      </c>
      <c r="S28" s="477">
        <v>66058</v>
      </c>
      <c r="T28" s="477"/>
      <c r="U28" s="477"/>
      <c r="V28" s="477"/>
      <c r="W28" s="477">
        <v>192</v>
      </c>
      <c r="X28" s="477"/>
      <c r="Y28" s="477"/>
      <c r="Z28" s="477"/>
      <c r="AA28" s="476"/>
      <c r="AB28" s="476"/>
    </row>
    <row r="29" spans="1:28" ht="10.5" customHeight="1">
      <c r="A29" s="474"/>
      <c r="B29" s="352" t="s">
        <v>996</v>
      </c>
      <c r="C29" s="352"/>
      <c r="D29" s="352"/>
      <c r="E29" s="343" t="s">
        <v>997</v>
      </c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474" t="s">
        <v>998</v>
      </c>
      <c r="S29" s="477">
        <v>158584.48</v>
      </c>
      <c r="T29" s="477"/>
      <c r="U29" s="477"/>
      <c r="V29" s="477"/>
      <c r="W29" s="477"/>
      <c r="X29" s="477"/>
      <c r="Y29" s="477"/>
      <c r="Z29" s="477"/>
      <c r="AA29" s="476">
        <v>144368.32</v>
      </c>
      <c r="AB29" s="476">
        <v>78</v>
      </c>
    </row>
    <row r="30" spans="1:28" ht="10.5" customHeight="1">
      <c r="A30" s="474"/>
      <c r="B30" s="352" t="s">
        <v>999</v>
      </c>
      <c r="C30" s="352"/>
      <c r="D30" s="352"/>
      <c r="E30" s="343" t="s">
        <v>1000</v>
      </c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474" t="s">
        <v>1001</v>
      </c>
      <c r="S30" s="477"/>
      <c r="T30" s="477"/>
      <c r="U30" s="477"/>
      <c r="V30" s="477"/>
      <c r="W30" s="477"/>
      <c r="X30" s="477"/>
      <c r="Y30" s="477"/>
      <c r="Z30" s="477"/>
      <c r="AA30" s="476">
        <v>77495</v>
      </c>
      <c r="AB30" s="476"/>
    </row>
    <row r="31" spans="1:28" ht="10.5" customHeight="1">
      <c r="A31" s="474"/>
      <c r="B31" s="352" t="s">
        <v>1002</v>
      </c>
      <c r="C31" s="352"/>
      <c r="D31" s="352"/>
      <c r="E31" s="343" t="s">
        <v>1003</v>
      </c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474" t="s">
        <v>1004</v>
      </c>
      <c r="S31" s="477"/>
      <c r="T31" s="477"/>
      <c r="U31" s="477"/>
      <c r="V31" s="477"/>
      <c r="W31" s="477"/>
      <c r="X31" s="477"/>
      <c r="Y31" s="477"/>
      <c r="Z31" s="477"/>
      <c r="AA31" s="476"/>
      <c r="AB31" s="476"/>
    </row>
    <row r="32" spans="1:28" ht="10.5" customHeight="1">
      <c r="A32" s="474"/>
      <c r="B32" s="352" t="s">
        <v>1005</v>
      </c>
      <c r="C32" s="352"/>
      <c r="D32" s="352"/>
      <c r="E32" s="343" t="s">
        <v>1652</v>
      </c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474" t="s">
        <v>1006</v>
      </c>
      <c r="S32" s="477"/>
      <c r="T32" s="477"/>
      <c r="U32" s="477"/>
      <c r="V32" s="477"/>
      <c r="W32" s="477"/>
      <c r="X32" s="477"/>
      <c r="Y32" s="477"/>
      <c r="Z32" s="477"/>
      <c r="AA32" s="476"/>
      <c r="AB32" s="476"/>
    </row>
    <row r="33" spans="1:28" ht="10.5" customHeight="1">
      <c r="A33" s="474"/>
      <c r="B33" s="352" t="s">
        <v>1007</v>
      </c>
      <c r="C33" s="352"/>
      <c r="D33" s="352"/>
      <c r="E33" s="343" t="s">
        <v>1008</v>
      </c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474" t="s">
        <v>1009</v>
      </c>
      <c r="S33" s="477"/>
      <c r="T33" s="477"/>
      <c r="U33" s="477"/>
      <c r="V33" s="477"/>
      <c r="W33" s="477"/>
      <c r="X33" s="477"/>
      <c r="Y33" s="477"/>
      <c r="Z33" s="477"/>
      <c r="AA33" s="476"/>
      <c r="AB33" s="476"/>
    </row>
    <row r="34" spans="1:28" ht="10.5" customHeight="1">
      <c r="A34" s="474"/>
      <c r="B34" s="352" t="s">
        <v>1010</v>
      </c>
      <c r="C34" s="352"/>
      <c r="D34" s="352"/>
      <c r="E34" s="343" t="s">
        <v>1011</v>
      </c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474" t="s">
        <v>2037</v>
      </c>
      <c r="S34" s="477"/>
      <c r="T34" s="477"/>
      <c r="U34" s="477"/>
      <c r="V34" s="477"/>
      <c r="W34" s="477"/>
      <c r="X34" s="477"/>
      <c r="Y34" s="477"/>
      <c r="Z34" s="477"/>
      <c r="AA34" s="476"/>
      <c r="AB34" s="476"/>
    </row>
    <row r="35" spans="1:28" ht="10.5" customHeight="1">
      <c r="A35" s="474"/>
      <c r="B35" s="352" t="s">
        <v>1012</v>
      </c>
      <c r="C35" s="352"/>
      <c r="D35" s="352"/>
      <c r="E35" s="343" t="s">
        <v>1013</v>
      </c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474" t="s">
        <v>2043</v>
      </c>
      <c r="S35" s="477"/>
      <c r="T35" s="477"/>
      <c r="U35" s="477"/>
      <c r="V35" s="477"/>
      <c r="W35" s="477"/>
      <c r="X35" s="477"/>
      <c r="Y35" s="477"/>
      <c r="Z35" s="477"/>
      <c r="AA35" s="476">
        <v>3783</v>
      </c>
      <c r="AB35" s="476"/>
    </row>
    <row r="36" spans="1:28" ht="10.5" customHeight="1">
      <c r="A36" s="474"/>
      <c r="B36" s="352" t="s">
        <v>1014</v>
      </c>
      <c r="C36" s="352"/>
      <c r="D36" s="352"/>
      <c r="E36" s="343" t="s">
        <v>1015</v>
      </c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474" t="s">
        <v>1016</v>
      </c>
      <c r="S36" s="477"/>
      <c r="T36" s="477"/>
      <c r="U36" s="477"/>
      <c r="V36" s="477"/>
      <c r="W36" s="477"/>
      <c r="X36" s="477"/>
      <c r="Y36" s="477"/>
      <c r="Z36" s="477"/>
      <c r="AA36" s="476"/>
      <c r="AB36" s="476"/>
    </row>
    <row r="37" spans="1:28" ht="10.5" customHeight="1">
      <c r="A37" s="474"/>
      <c r="B37" s="352" t="s">
        <v>1017</v>
      </c>
      <c r="C37" s="352"/>
      <c r="D37" s="352"/>
      <c r="E37" s="343" t="s">
        <v>1018</v>
      </c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474" t="s">
        <v>1019</v>
      </c>
      <c r="S37" s="477"/>
      <c r="T37" s="477"/>
      <c r="U37" s="477"/>
      <c r="V37" s="477"/>
      <c r="W37" s="477"/>
      <c r="X37" s="477"/>
      <c r="Y37" s="477"/>
      <c r="Z37" s="477"/>
      <c r="AA37" s="476"/>
      <c r="AB37" s="476"/>
    </row>
    <row r="38" spans="1:28" ht="10.5" customHeight="1">
      <c r="A38" s="474"/>
      <c r="B38" s="352" t="s">
        <v>1020</v>
      </c>
      <c r="C38" s="352"/>
      <c r="D38" s="352"/>
      <c r="E38" s="343" t="s">
        <v>1021</v>
      </c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474" t="s">
        <v>1022</v>
      </c>
      <c r="S38" s="477"/>
      <c r="T38" s="477"/>
      <c r="U38" s="477"/>
      <c r="V38" s="477"/>
      <c r="W38" s="477">
        <v>5559.31</v>
      </c>
      <c r="X38" s="477"/>
      <c r="Y38" s="477"/>
      <c r="Z38" s="477"/>
      <c r="AA38" s="476"/>
      <c r="AB38" s="476"/>
    </row>
    <row r="39" spans="1:28" ht="10.5" customHeight="1">
      <c r="A39" s="474"/>
      <c r="B39" s="352" t="s">
        <v>1023</v>
      </c>
      <c r="C39" s="352"/>
      <c r="D39" s="352"/>
      <c r="E39" s="343" t="s">
        <v>1024</v>
      </c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474" t="s">
        <v>1025</v>
      </c>
      <c r="S39" s="477"/>
      <c r="T39" s="477"/>
      <c r="U39" s="477"/>
      <c r="V39" s="477"/>
      <c r="W39" s="477"/>
      <c r="X39" s="477"/>
      <c r="Y39" s="477"/>
      <c r="Z39" s="477"/>
      <c r="AA39" s="476"/>
      <c r="AB39" s="476"/>
    </row>
    <row r="40" spans="1:28" ht="10.5" customHeight="1">
      <c r="A40" s="474"/>
      <c r="B40" s="352" t="s">
        <v>1026</v>
      </c>
      <c r="C40" s="352"/>
      <c r="D40" s="352"/>
      <c r="E40" s="343" t="s">
        <v>1027</v>
      </c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474" t="s">
        <v>1028</v>
      </c>
      <c r="S40" s="477">
        <v>39637</v>
      </c>
      <c r="T40" s="477"/>
      <c r="U40" s="477"/>
      <c r="V40" s="477"/>
      <c r="W40" s="477"/>
      <c r="X40" s="477"/>
      <c r="Y40" s="477"/>
      <c r="Z40" s="477"/>
      <c r="AA40" s="476">
        <v>44143</v>
      </c>
      <c r="AB40" s="476"/>
    </row>
    <row r="41" spans="1:28" ht="10.5" customHeight="1">
      <c r="A41" s="474"/>
      <c r="B41" s="352" t="s">
        <v>1029</v>
      </c>
      <c r="C41" s="352"/>
      <c r="D41" s="352"/>
      <c r="E41" s="343" t="s">
        <v>1030</v>
      </c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474" t="s">
        <v>1031</v>
      </c>
      <c r="S41" s="477"/>
      <c r="T41" s="477"/>
      <c r="U41" s="477"/>
      <c r="V41" s="477"/>
      <c r="W41" s="477"/>
      <c r="X41" s="477"/>
      <c r="Y41" s="477"/>
      <c r="Z41" s="477"/>
      <c r="AA41" s="476"/>
      <c r="AB41" s="476"/>
    </row>
    <row r="42" spans="1:28" ht="10.5" customHeight="1">
      <c r="A42" s="474"/>
      <c r="B42" s="352" t="s">
        <v>1032</v>
      </c>
      <c r="C42" s="352"/>
      <c r="D42" s="352"/>
      <c r="E42" s="343" t="s">
        <v>1033</v>
      </c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474" t="s">
        <v>1034</v>
      </c>
      <c r="S42" s="477"/>
      <c r="T42" s="477"/>
      <c r="U42" s="477"/>
      <c r="V42" s="477"/>
      <c r="W42" s="477"/>
      <c r="X42" s="477"/>
      <c r="Y42" s="477"/>
      <c r="Z42" s="477"/>
      <c r="AA42" s="476"/>
      <c r="AB42" s="476"/>
    </row>
    <row r="43" spans="1:28" ht="10.5" customHeight="1">
      <c r="A43" s="474"/>
      <c r="B43" s="352" t="s">
        <v>1035</v>
      </c>
      <c r="C43" s="352"/>
      <c r="D43" s="352"/>
      <c r="E43" s="343" t="s">
        <v>1036</v>
      </c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474" t="s">
        <v>1037</v>
      </c>
      <c r="S43" s="477"/>
      <c r="T43" s="477"/>
      <c r="U43" s="477"/>
      <c r="V43" s="477"/>
      <c r="W43" s="477"/>
      <c r="X43" s="477"/>
      <c r="Y43" s="477"/>
      <c r="Z43" s="477"/>
      <c r="AA43" s="476"/>
      <c r="AB43" s="476"/>
    </row>
    <row r="44" spans="1:28" ht="10.5" customHeight="1">
      <c r="A44" s="474"/>
      <c r="B44" s="352" t="s">
        <v>1038</v>
      </c>
      <c r="C44" s="352"/>
      <c r="D44" s="352"/>
      <c r="E44" s="343" t="s">
        <v>1039</v>
      </c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474" t="s">
        <v>1040</v>
      </c>
      <c r="S44" s="477"/>
      <c r="T44" s="477"/>
      <c r="U44" s="477"/>
      <c r="V44" s="477"/>
      <c r="W44" s="477"/>
      <c r="X44" s="477"/>
      <c r="Y44" s="477"/>
      <c r="Z44" s="477"/>
      <c r="AA44" s="476"/>
      <c r="AB44" s="476"/>
    </row>
    <row r="45" spans="1:28" ht="10.5" customHeight="1">
      <c r="A45" s="474"/>
      <c r="B45" s="352" t="s">
        <v>1041</v>
      </c>
      <c r="C45" s="352"/>
      <c r="D45" s="352"/>
      <c r="E45" s="343" t="s">
        <v>1042</v>
      </c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474" t="s">
        <v>1043</v>
      </c>
      <c r="S45" s="477"/>
      <c r="T45" s="477"/>
      <c r="U45" s="477"/>
      <c r="V45" s="477"/>
      <c r="W45" s="477"/>
      <c r="X45" s="477"/>
      <c r="Y45" s="477"/>
      <c r="Z45" s="477"/>
      <c r="AA45" s="476"/>
      <c r="AB45" s="476"/>
    </row>
    <row r="46" spans="1:28" ht="10.5" customHeight="1">
      <c r="A46" s="474"/>
      <c r="B46" s="352" t="s">
        <v>1044</v>
      </c>
      <c r="C46" s="352"/>
      <c r="D46" s="352"/>
      <c r="E46" s="343" t="s">
        <v>1045</v>
      </c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474" t="s">
        <v>1046</v>
      </c>
      <c r="S46" s="477"/>
      <c r="T46" s="477"/>
      <c r="U46" s="477"/>
      <c r="V46" s="477"/>
      <c r="W46" s="477"/>
      <c r="X46" s="477"/>
      <c r="Y46" s="477"/>
      <c r="Z46" s="477"/>
      <c r="AA46" s="476"/>
      <c r="AB46" s="476"/>
    </row>
    <row r="47" spans="1:28" ht="10.5" customHeight="1">
      <c r="A47" s="474"/>
      <c r="B47" s="352" t="s">
        <v>1047</v>
      </c>
      <c r="C47" s="352"/>
      <c r="D47" s="352"/>
      <c r="E47" s="343" t="s">
        <v>1048</v>
      </c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474" t="s">
        <v>1049</v>
      </c>
      <c r="S47" s="477">
        <v>641835.2</v>
      </c>
      <c r="T47" s="477"/>
      <c r="U47" s="477"/>
      <c r="V47" s="477"/>
      <c r="W47" s="477">
        <v>7087</v>
      </c>
      <c r="X47" s="477"/>
      <c r="Y47" s="477"/>
      <c r="Z47" s="477"/>
      <c r="AA47" s="476"/>
      <c r="AB47" s="476"/>
    </row>
    <row r="48" spans="1:28" ht="10.5" customHeight="1">
      <c r="A48" s="474"/>
      <c r="B48" s="352" t="s">
        <v>1050</v>
      </c>
      <c r="C48" s="352"/>
      <c r="D48" s="352"/>
      <c r="E48" s="343" t="s">
        <v>1051</v>
      </c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474" t="s">
        <v>1052</v>
      </c>
      <c r="S48" s="477">
        <v>60611.19</v>
      </c>
      <c r="T48" s="477"/>
      <c r="U48" s="477"/>
      <c r="V48" s="477"/>
      <c r="W48" s="477"/>
      <c r="X48" s="477"/>
      <c r="Y48" s="477"/>
      <c r="Z48" s="477"/>
      <c r="AA48" s="476">
        <v>3100</v>
      </c>
      <c r="AB48" s="476"/>
    </row>
    <row r="49" spans="1:28" ht="4.5" customHeight="1" thickBot="1">
      <c r="A49" s="491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1"/>
      <c r="P49" s="491"/>
      <c r="Q49" s="491"/>
      <c r="R49" s="491"/>
      <c r="S49" s="491"/>
      <c r="T49" s="491"/>
      <c r="U49" s="491"/>
      <c r="V49" s="491"/>
      <c r="W49" s="491"/>
      <c r="X49" s="491"/>
      <c r="Y49" s="491"/>
      <c r="Z49" s="491"/>
      <c r="AA49" s="491"/>
      <c r="AB49" s="491"/>
    </row>
    <row r="50" spans="1:28" ht="9.75" customHeight="1" thickBot="1">
      <c r="A50" s="350" t="s">
        <v>956</v>
      </c>
      <c r="B50" s="350"/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1" t="s">
        <v>957</v>
      </c>
      <c r="R50" s="451"/>
      <c r="S50" s="452" t="s">
        <v>958</v>
      </c>
      <c r="T50" s="453"/>
      <c r="U50" s="453"/>
      <c r="V50" s="453"/>
      <c r="W50" s="453"/>
      <c r="X50" s="453"/>
      <c r="Y50" s="453"/>
      <c r="Z50" s="454"/>
      <c r="AA50" s="452" t="s">
        <v>959</v>
      </c>
      <c r="AB50" s="453"/>
    </row>
    <row r="51" spans="1:28" ht="9.75" customHeight="1">
      <c r="A51" s="455" t="s">
        <v>960</v>
      </c>
      <c r="B51" s="455"/>
      <c r="C51" s="455"/>
      <c r="D51" s="455"/>
      <c r="E51" s="455" t="s">
        <v>2124</v>
      </c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6" t="s">
        <v>961</v>
      </c>
      <c r="R51" s="457"/>
      <c r="S51" s="458" t="s">
        <v>1339</v>
      </c>
      <c r="T51" s="351"/>
      <c r="U51" s="351"/>
      <c r="V51" s="351"/>
      <c r="W51" s="351" t="s">
        <v>962</v>
      </c>
      <c r="X51" s="351"/>
      <c r="Y51" s="351"/>
      <c r="Z51" s="451"/>
      <c r="AA51" s="459" t="s">
        <v>1339</v>
      </c>
      <c r="AB51" s="459" t="s">
        <v>962</v>
      </c>
    </row>
    <row r="52" spans="1:28" ht="9.75" customHeight="1" thickBot="1">
      <c r="A52" s="460"/>
      <c r="B52" s="460"/>
      <c r="C52" s="460"/>
      <c r="D52" s="460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1"/>
      <c r="R52" s="462"/>
      <c r="S52" s="463" t="s">
        <v>1659</v>
      </c>
      <c r="T52" s="464"/>
      <c r="U52" s="464"/>
      <c r="V52" s="464"/>
      <c r="W52" s="461" t="s">
        <v>1729</v>
      </c>
      <c r="X52" s="461"/>
      <c r="Y52" s="461"/>
      <c r="Z52" s="462"/>
      <c r="AA52" s="465" t="s">
        <v>2336</v>
      </c>
      <c r="AB52" s="466" t="s">
        <v>1785</v>
      </c>
    </row>
    <row r="53" spans="1:28" ht="13.5" thickBot="1">
      <c r="A53" s="470"/>
      <c r="B53" s="369" t="s">
        <v>1053</v>
      </c>
      <c r="C53" s="369"/>
      <c r="D53" s="470"/>
      <c r="E53" s="356" t="s">
        <v>1054</v>
      </c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471"/>
      <c r="S53" s="472"/>
      <c r="T53" s="472"/>
      <c r="U53" s="472"/>
      <c r="V53" s="472"/>
      <c r="W53" s="472"/>
      <c r="X53" s="472"/>
      <c r="Y53" s="472"/>
      <c r="Z53" s="472"/>
      <c r="AA53" s="473">
        <v>107720</v>
      </c>
      <c r="AB53" s="473">
        <v>393</v>
      </c>
    </row>
    <row r="54" spans="1:28" ht="10.5" customHeight="1">
      <c r="A54" s="474"/>
      <c r="B54" s="355" t="s">
        <v>1492</v>
      </c>
      <c r="C54" s="355"/>
      <c r="D54" s="355"/>
      <c r="E54" s="354" t="s">
        <v>1055</v>
      </c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474" t="s">
        <v>1056</v>
      </c>
      <c r="S54" s="475"/>
      <c r="T54" s="475"/>
      <c r="U54" s="475"/>
      <c r="V54" s="475"/>
      <c r="W54" s="475"/>
      <c r="X54" s="475"/>
      <c r="Y54" s="475"/>
      <c r="Z54" s="475"/>
      <c r="AA54" s="476"/>
      <c r="AB54" s="476"/>
    </row>
    <row r="55" spans="1:28" ht="10.5" customHeight="1">
      <c r="A55" s="474"/>
      <c r="B55" s="352" t="s">
        <v>1496</v>
      </c>
      <c r="C55" s="352"/>
      <c r="D55" s="352"/>
      <c r="E55" s="343" t="s">
        <v>1057</v>
      </c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474" t="s">
        <v>1058</v>
      </c>
      <c r="S55" s="477"/>
      <c r="T55" s="477"/>
      <c r="U55" s="477"/>
      <c r="V55" s="477"/>
      <c r="W55" s="477"/>
      <c r="X55" s="477"/>
      <c r="Y55" s="477"/>
      <c r="Z55" s="477"/>
      <c r="AA55" s="476"/>
      <c r="AB55" s="476"/>
    </row>
    <row r="56" spans="1:28" ht="10.5" customHeight="1">
      <c r="A56" s="474"/>
      <c r="B56" s="352" t="s">
        <v>1500</v>
      </c>
      <c r="C56" s="352"/>
      <c r="D56" s="352"/>
      <c r="E56" s="343" t="s">
        <v>1059</v>
      </c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474" t="s">
        <v>1060</v>
      </c>
      <c r="S56" s="477"/>
      <c r="T56" s="477"/>
      <c r="U56" s="477"/>
      <c r="V56" s="477"/>
      <c r="W56" s="477"/>
      <c r="X56" s="477"/>
      <c r="Y56" s="477"/>
      <c r="Z56" s="477"/>
      <c r="AA56" s="476"/>
      <c r="AB56" s="476"/>
    </row>
    <row r="57" spans="1:28" ht="10.5" customHeight="1">
      <c r="A57" s="474"/>
      <c r="B57" s="352" t="s">
        <v>1506</v>
      </c>
      <c r="C57" s="352"/>
      <c r="D57" s="352"/>
      <c r="E57" s="343" t="s">
        <v>1061</v>
      </c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474" t="s">
        <v>1062</v>
      </c>
      <c r="S57" s="477"/>
      <c r="T57" s="477"/>
      <c r="U57" s="477"/>
      <c r="V57" s="477"/>
      <c r="W57" s="477"/>
      <c r="X57" s="477"/>
      <c r="Y57" s="477"/>
      <c r="Z57" s="477"/>
      <c r="AA57" s="476"/>
      <c r="AB57" s="476"/>
    </row>
    <row r="58" spans="1:28" ht="10.5" customHeight="1">
      <c r="A58" s="474"/>
      <c r="B58" s="352" t="s">
        <v>1512</v>
      </c>
      <c r="C58" s="352"/>
      <c r="D58" s="352"/>
      <c r="E58" s="343" t="s">
        <v>1063</v>
      </c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474" t="s">
        <v>1064</v>
      </c>
      <c r="S58" s="477"/>
      <c r="T58" s="477"/>
      <c r="U58" s="477"/>
      <c r="V58" s="477"/>
      <c r="W58" s="477"/>
      <c r="X58" s="477"/>
      <c r="Y58" s="477"/>
      <c r="Z58" s="477"/>
      <c r="AA58" s="476">
        <v>107720</v>
      </c>
      <c r="AB58" s="476">
        <v>393</v>
      </c>
    </row>
    <row r="59" spans="1:28" ht="4.5" customHeight="1" thickBot="1">
      <c r="A59" s="491"/>
      <c r="B59" s="491"/>
      <c r="C59" s="491"/>
      <c r="D59" s="491"/>
      <c r="E59" s="491"/>
      <c r="F59" s="491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R59" s="491"/>
      <c r="S59" s="491"/>
      <c r="T59" s="491"/>
      <c r="U59" s="491"/>
      <c r="V59" s="491"/>
      <c r="W59" s="491"/>
      <c r="X59" s="491"/>
      <c r="Y59" s="491"/>
      <c r="Z59" s="491"/>
      <c r="AA59" s="491"/>
      <c r="AB59" s="491"/>
    </row>
    <row r="60" spans="1:28" ht="13.5" thickBot="1">
      <c r="A60" s="470"/>
      <c r="B60" s="369" t="s">
        <v>1065</v>
      </c>
      <c r="C60" s="369"/>
      <c r="D60" s="470"/>
      <c r="E60" s="356" t="s">
        <v>1066</v>
      </c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471"/>
      <c r="S60" s="472"/>
      <c r="T60" s="472"/>
      <c r="U60" s="472"/>
      <c r="V60" s="472"/>
      <c r="W60" s="472"/>
      <c r="X60" s="472"/>
      <c r="Y60" s="472"/>
      <c r="Z60" s="472"/>
      <c r="AA60" s="473"/>
      <c r="AB60" s="473"/>
    </row>
    <row r="61" spans="1:28" ht="12.75">
      <c r="A61" s="474"/>
      <c r="B61" s="355" t="s">
        <v>1492</v>
      </c>
      <c r="C61" s="355"/>
      <c r="D61" s="355"/>
      <c r="E61" s="354" t="s">
        <v>1067</v>
      </c>
      <c r="F61" s="354"/>
      <c r="G61" s="354"/>
      <c r="H61" s="354"/>
      <c r="I61" s="354"/>
      <c r="J61" s="354"/>
      <c r="K61" s="354"/>
      <c r="L61" s="354"/>
      <c r="M61" s="354"/>
      <c r="N61" s="354"/>
      <c r="O61" s="354"/>
      <c r="P61" s="354"/>
      <c r="Q61" s="354"/>
      <c r="R61" s="474" t="s">
        <v>1068</v>
      </c>
      <c r="S61" s="475"/>
      <c r="T61" s="475"/>
      <c r="U61" s="475"/>
      <c r="V61" s="475"/>
      <c r="W61" s="475"/>
      <c r="X61" s="475"/>
      <c r="Y61" s="475"/>
      <c r="Z61" s="475"/>
      <c r="AA61" s="476"/>
      <c r="AB61" s="476"/>
    </row>
    <row r="62" spans="1:28" ht="12.75">
      <c r="A62" s="474"/>
      <c r="B62" s="352" t="s">
        <v>1496</v>
      </c>
      <c r="C62" s="352"/>
      <c r="D62" s="352"/>
      <c r="E62" s="343" t="s">
        <v>1069</v>
      </c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474" t="s">
        <v>1070</v>
      </c>
      <c r="S62" s="477"/>
      <c r="T62" s="477"/>
      <c r="U62" s="477"/>
      <c r="V62" s="477"/>
      <c r="W62" s="477"/>
      <c r="X62" s="477"/>
      <c r="Y62" s="477"/>
      <c r="Z62" s="477"/>
      <c r="AA62" s="476"/>
      <c r="AB62" s="476"/>
    </row>
    <row r="63" spans="1:28" ht="4.5" customHeight="1" thickBot="1">
      <c r="A63" s="494"/>
      <c r="B63" s="494"/>
      <c r="C63" s="494"/>
      <c r="D63" s="494"/>
      <c r="E63" s="494"/>
      <c r="F63" s="494"/>
      <c r="G63" s="494"/>
      <c r="H63" s="494"/>
      <c r="I63" s="494"/>
      <c r="J63" s="494"/>
      <c r="K63" s="494"/>
      <c r="L63" s="494"/>
      <c r="M63" s="494"/>
      <c r="N63" s="494"/>
      <c r="O63" s="494"/>
      <c r="P63" s="494"/>
      <c r="Q63" s="494"/>
      <c r="R63" s="494"/>
      <c r="S63" s="494"/>
      <c r="T63" s="494"/>
      <c r="U63" s="494"/>
      <c r="V63" s="494"/>
      <c r="W63" s="494"/>
      <c r="X63" s="494"/>
      <c r="Y63" s="494"/>
      <c r="Z63" s="494"/>
      <c r="AA63" s="494"/>
      <c r="AB63" s="494"/>
    </row>
    <row r="64" spans="1:28" ht="13.5" thickBot="1">
      <c r="A64" s="470"/>
      <c r="B64" s="369" t="s">
        <v>1071</v>
      </c>
      <c r="C64" s="369"/>
      <c r="D64" s="470"/>
      <c r="E64" s="356" t="s">
        <v>1072</v>
      </c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471"/>
      <c r="S64" s="472"/>
      <c r="T64" s="472"/>
      <c r="U64" s="472"/>
      <c r="V64" s="472"/>
      <c r="W64" s="472"/>
      <c r="X64" s="472"/>
      <c r="Y64" s="472"/>
      <c r="Z64" s="472"/>
      <c r="AA64" s="473"/>
      <c r="AB64" s="473"/>
    </row>
    <row r="65" spans="1:28" ht="12.75">
      <c r="A65" s="474"/>
      <c r="B65" s="355" t="s">
        <v>1492</v>
      </c>
      <c r="C65" s="355"/>
      <c r="D65" s="355"/>
      <c r="E65" s="354" t="s">
        <v>1072</v>
      </c>
      <c r="F65" s="354"/>
      <c r="G65" s="354"/>
      <c r="H65" s="354"/>
      <c r="I65" s="354"/>
      <c r="J65" s="354"/>
      <c r="K65" s="354"/>
      <c r="L65" s="354"/>
      <c r="M65" s="354"/>
      <c r="N65" s="354"/>
      <c r="O65" s="354"/>
      <c r="P65" s="354"/>
      <c r="Q65" s="354"/>
      <c r="R65" s="474" t="s">
        <v>1073</v>
      </c>
      <c r="S65" s="475"/>
      <c r="T65" s="475"/>
      <c r="U65" s="475"/>
      <c r="V65" s="475"/>
      <c r="W65" s="475"/>
      <c r="X65" s="475"/>
      <c r="Y65" s="475"/>
      <c r="Z65" s="475"/>
      <c r="AA65" s="476"/>
      <c r="AB65" s="476"/>
    </row>
    <row r="66" spans="1:28" ht="13.5" thickBot="1">
      <c r="A66" s="474"/>
      <c r="B66" s="353" t="s">
        <v>1496</v>
      </c>
      <c r="C66" s="353"/>
      <c r="D66" s="353"/>
      <c r="E66" s="345" t="s">
        <v>1074</v>
      </c>
      <c r="F66" s="345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  <c r="R66" s="474" t="s">
        <v>1075</v>
      </c>
      <c r="S66" s="479"/>
      <c r="T66" s="479"/>
      <c r="U66" s="479"/>
      <c r="V66" s="479"/>
      <c r="W66" s="479"/>
      <c r="X66" s="479"/>
      <c r="Y66" s="479"/>
      <c r="Z66" s="479"/>
      <c r="AA66" s="476"/>
      <c r="AB66" s="476"/>
    </row>
    <row r="67" spans="1:28" ht="13.5" thickBot="1">
      <c r="A67" s="363" t="s">
        <v>1076</v>
      </c>
      <c r="B67" s="363"/>
      <c r="C67" s="363"/>
      <c r="D67" s="363"/>
      <c r="E67" s="363" t="s">
        <v>1077</v>
      </c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467"/>
      <c r="S67" s="468">
        <v>27588414.38</v>
      </c>
      <c r="T67" s="468"/>
      <c r="U67" s="468"/>
      <c r="V67" s="468"/>
      <c r="W67" s="468">
        <v>928819</v>
      </c>
      <c r="X67" s="468"/>
      <c r="Y67" s="468"/>
      <c r="Z67" s="468"/>
      <c r="AA67" s="469">
        <v>25000994.27</v>
      </c>
      <c r="AB67" s="469">
        <v>990827</v>
      </c>
    </row>
    <row r="68" spans="1:28" ht="4.5" customHeight="1" thickBot="1">
      <c r="A68" s="493"/>
      <c r="B68" s="493"/>
      <c r="C68" s="493"/>
      <c r="D68" s="493"/>
      <c r="E68" s="493"/>
      <c r="F68" s="493"/>
      <c r="G68" s="493"/>
      <c r="H68" s="493"/>
      <c r="I68" s="493"/>
      <c r="J68" s="493"/>
      <c r="K68" s="493"/>
      <c r="L68" s="493"/>
      <c r="M68" s="493"/>
      <c r="N68" s="493"/>
      <c r="O68" s="493"/>
      <c r="P68" s="493"/>
      <c r="Q68" s="493"/>
      <c r="R68" s="493"/>
      <c r="S68" s="493"/>
      <c r="T68" s="493"/>
      <c r="U68" s="493"/>
      <c r="V68" s="493"/>
      <c r="W68" s="493"/>
      <c r="X68" s="493"/>
      <c r="Y68" s="493"/>
      <c r="Z68" s="493"/>
      <c r="AA68" s="493"/>
      <c r="AB68" s="493"/>
    </row>
    <row r="69" spans="1:28" ht="13.5" thickBot="1">
      <c r="A69" s="470"/>
      <c r="B69" s="369" t="s">
        <v>965</v>
      </c>
      <c r="C69" s="369"/>
      <c r="D69" s="470"/>
      <c r="E69" s="356" t="s">
        <v>1078</v>
      </c>
      <c r="F69" s="356"/>
      <c r="G69" s="356"/>
      <c r="H69" s="356"/>
      <c r="I69" s="356"/>
      <c r="J69" s="356"/>
      <c r="K69" s="356"/>
      <c r="L69" s="356"/>
      <c r="M69" s="356"/>
      <c r="N69" s="356"/>
      <c r="O69" s="356"/>
      <c r="P69" s="356"/>
      <c r="Q69" s="356"/>
      <c r="R69" s="471"/>
      <c r="S69" s="472">
        <v>1889218.36</v>
      </c>
      <c r="T69" s="472"/>
      <c r="U69" s="472"/>
      <c r="V69" s="472"/>
      <c r="W69" s="472">
        <v>928819</v>
      </c>
      <c r="X69" s="472"/>
      <c r="Y69" s="472"/>
      <c r="Z69" s="472"/>
      <c r="AA69" s="473">
        <v>1379048.17</v>
      </c>
      <c r="AB69" s="473">
        <v>990827</v>
      </c>
    </row>
    <row r="70" spans="1:28" ht="10.5" customHeight="1">
      <c r="A70" s="474"/>
      <c r="B70" s="355" t="s">
        <v>1492</v>
      </c>
      <c r="C70" s="355"/>
      <c r="D70" s="355"/>
      <c r="E70" s="354" t="s">
        <v>1079</v>
      </c>
      <c r="F70" s="354"/>
      <c r="G70" s="354"/>
      <c r="H70" s="354"/>
      <c r="I70" s="354"/>
      <c r="J70" s="354"/>
      <c r="K70" s="354"/>
      <c r="L70" s="354"/>
      <c r="M70" s="354"/>
      <c r="N70" s="354"/>
      <c r="O70" s="354"/>
      <c r="P70" s="354"/>
      <c r="Q70" s="354"/>
      <c r="R70" s="474" t="s">
        <v>1080</v>
      </c>
      <c r="S70" s="475"/>
      <c r="T70" s="475"/>
      <c r="U70" s="475"/>
      <c r="V70" s="475"/>
      <c r="W70" s="475"/>
      <c r="X70" s="475"/>
      <c r="Y70" s="475"/>
      <c r="Z70" s="475"/>
      <c r="AA70" s="476"/>
      <c r="AB70" s="476"/>
    </row>
    <row r="71" spans="1:28" ht="10.5" customHeight="1">
      <c r="A71" s="474"/>
      <c r="B71" s="352" t="s">
        <v>1496</v>
      </c>
      <c r="C71" s="352"/>
      <c r="D71" s="352"/>
      <c r="E71" s="343" t="s">
        <v>1081</v>
      </c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474" t="s">
        <v>1082</v>
      </c>
      <c r="S71" s="477">
        <v>507800</v>
      </c>
      <c r="T71" s="477"/>
      <c r="U71" s="477"/>
      <c r="V71" s="477"/>
      <c r="W71" s="477">
        <v>366912</v>
      </c>
      <c r="X71" s="477"/>
      <c r="Y71" s="477"/>
      <c r="Z71" s="477"/>
      <c r="AA71" s="476">
        <v>386500</v>
      </c>
      <c r="AB71" s="476">
        <v>317113</v>
      </c>
    </row>
    <row r="72" spans="1:28" ht="10.5" customHeight="1">
      <c r="A72" s="474"/>
      <c r="B72" s="352" t="s">
        <v>1500</v>
      </c>
      <c r="C72" s="352"/>
      <c r="D72" s="352"/>
      <c r="E72" s="343" t="s">
        <v>1083</v>
      </c>
      <c r="F72" s="343"/>
      <c r="G72" s="343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474" t="s">
        <v>1084</v>
      </c>
      <c r="S72" s="477"/>
      <c r="T72" s="477"/>
      <c r="U72" s="477"/>
      <c r="V72" s="477"/>
      <c r="W72" s="477">
        <v>375029</v>
      </c>
      <c r="X72" s="477"/>
      <c r="Y72" s="477"/>
      <c r="Z72" s="477"/>
      <c r="AA72" s="476"/>
      <c r="AB72" s="476">
        <v>439378</v>
      </c>
    </row>
    <row r="73" spans="1:28" ht="10.5" customHeight="1">
      <c r="A73" s="474"/>
      <c r="B73" s="352" t="s">
        <v>1506</v>
      </c>
      <c r="C73" s="352"/>
      <c r="D73" s="352"/>
      <c r="E73" s="343" t="s">
        <v>1085</v>
      </c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474" t="s">
        <v>1086</v>
      </c>
      <c r="S73" s="477"/>
      <c r="T73" s="477"/>
      <c r="U73" s="477"/>
      <c r="V73" s="477"/>
      <c r="W73" s="477">
        <v>178213</v>
      </c>
      <c r="X73" s="477"/>
      <c r="Y73" s="477"/>
      <c r="Z73" s="477"/>
      <c r="AA73" s="476"/>
      <c r="AB73" s="476">
        <v>234336</v>
      </c>
    </row>
    <row r="74" spans="1:28" ht="10.5" customHeight="1">
      <c r="A74" s="474"/>
      <c r="B74" s="352" t="s">
        <v>1527</v>
      </c>
      <c r="C74" s="352"/>
      <c r="D74" s="352"/>
      <c r="E74" s="343" t="s">
        <v>1087</v>
      </c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474" t="s">
        <v>1088</v>
      </c>
      <c r="S74" s="477"/>
      <c r="T74" s="477"/>
      <c r="U74" s="477"/>
      <c r="V74" s="477"/>
      <c r="W74" s="477"/>
      <c r="X74" s="477"/>
      <c r="Y74" s="477"/>
      <c r="Z74" s="477"/>
      <c r="AA74" s="476"/>
      <c r="AB74" s="476"/>
    </row>
    <row r="75" spans="1:28" ht="10.5" customHeight="1">
      <c r="A75" s="474"/>
      <c r="B75" s="352" t="s">
        <v>1529</v>
      </c>
      <c r="C75" s="352"/>
      <c r="D75" s="352"/>
      <c r="E75" s="343" t="s">
        <v>1011</v>
      </c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474" t="s">
        <v>1089</v>
      </c>
      <c r="S75" s="477"/>
      <c r="T75" s="477"/>
      <c r="U75" s="477"/>
      <c r="V75" s="477"/>
      <c r="W75" s="477"/>
      <c r="X75" s="477"/>
      <c r="Y75" s="477"/>
      <c r="Z75" s="477"/>
      <c r="AA75" s="476"/>
      <c r="AB75" s="476"/>
    </row>
    <row r="76" spans="1:28" ht="10.5" customHeight="1">
      <c r="A76" s="474"/>
      <c r="B76" s="352" t="s">
        <v>1531</v>
      </c>
      <c r="C76" s="352"/>
      <c r="D76" s="352"/>
      <c r="E76" s="343" t="s">
        <v>1013</v>
      </c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474" t="s">
        <v>1090</v>
      </c>
      <c r="S76" s="477"/>
      <c r="T76" s="477"/>
      <c r="U76" s="477"/>
      <c r="V76" s="477"/>
      <c r="W76" s="477"/>
      <c r="X76" s="477"/>
      <c r="Y76" s="477"/>
      <c r="Z76" s="477"/>
      <c r="AA76" s="476"/>
      <c r="AB76" s="476"/>
    </row>
    <row r="77" spans="1:28" ht="10.5" customHeight="1">
      <c r="A77" s="474"/>
      <c r="B77" s="352" t="s">
        <v>982</v>
      </c>
      <c r="C77" s="352"/>
      <c r="D77" s="352"/>
      <c r="E77" s="343" t="s">
        <v>1091</v>
      </c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474" t="s">
        <v>1092</v>
      </c>
      <c r="S77" s="477"/>
      <c r="T77" s="477"/>
      <c r="U77" s="477"/>
      <c r="V77" s="477"/>
      <c r="W77" s="477"/>
      <c r="X77" s="477"/>
      <c r="Y77" s="477"/>
      <c r="Z77" s="477"/>
      <c r="AA77" s="476"/>
      <c r="AB77" s="476"/>
    </row>
    <row r="78" spans="1:28" ht="10.5" customHeight="1">
      <c r="A78" s="474"/>
      <c r="B78" s="352" t="s">
        <v>984</v>
      </c>
      <c r="C78" s="352"/>
      <c r="D78" s="352"/>
      <c r="E78" s="343" t="s">
        <v>1093</v>
      </c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474" t="s">
        <v>1094</v>
      </c>
      <c r="S78" s="477"/>
      <c r="T78" s="477"/>
      <c r="U78" s="477"/>
      <c r="V78" s="477"/>
      <c r="W78" s="477"/>
      <c r="X78" s="477"/>
      <c r="Y78" s="477"/>
      <c r="Z78" s="477"/>
      <c r="AA78" s="476"/>
      <c r="AB78" s="476"/>
    </row>
    <row r="79" spans="1:28" ht="10.5" customHeight="1">
      <c r="A79" s="474"/>
      <c r="B79" s="352" t="s">
        <v>987</v>
      </c>
      <c r="C79" s="352"/>
      <c r="D79" s="352"/>
      <c r="E79" s="343" t="s">
        <v>1095</v>
      </c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474" t="s">
        <v>1096</v>
      </c>
      <c r="S79" s="477"/>
      <c r="T79" s="477"/>
      <c r="U79" s="477"/>
      <c r="V79" s="477"/>
      <c r="W79" s="477"/>
      <c r="X79" s="477"/>
      <c r="Y79" s="477"/>
      <c r="Z79" s="477"/>
      <c r="AA79" s="476"/>
      <c r="AB79" s="476"/>
    </row>
    <row r="80" spans="1:28" ht="10.5" customHeight="1">
      <c r="A80" s="474"/>
      <c r="B80" s="352" t="s">
        <v>990</v>
      </c>
      <c r="C80" s="352"/>
      <c r="D80" s="352"/>
      <c r="E80" s="343" t="s">
        <v>1097</v>
      </c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474" t="s">
        <v>1098</v>
      </c>
      <c r="S80" s="477"/>
      <c r="T80" s="477"/>
      <c r="U80" s="477"/>
      <c r="V80" s="477"/>
      <c r="W80" s="477"/>
      <c r="X80" s="477"/>
      <c r="Y80" s="477"/>
      <c r="Z80" s="477"/>
      <c r="AA80" s="476"/>
      <c r="AB80" s="476"/>
    </row>
    <row r="81" spans="1:28" ht="10.5" customHeight="1">
      <c r="A81" s="474"/>
      <c r="B81" s="352" t="s">
        <v>993</v>
      </c>
      <c r="C81" s="352"/>
      <c r="D81" s="352"/>
      <c r="E81" s="343" t="s">
        <v>1099</v>
      </c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474" t="s">
        <v>1100</v>
      </c>
      <c r="S81" s="477"/>
      <c r="T81" s="477"/>
      <c r="U81" s="477"/>
      <c r="V81" s="477"/>
      <c r="W81" s="477"/>
      <c r="X81" s="477"/>
      <c r="Y81" s="477"/>
      <c r="Z81" s="477"/>
      <c r="AA81" s="476"/>
      <c r="AB81" s="476"/>
    </row>
    <row r="82" spans="1:28" ht="10.5" customHeight="1">
      <c r="A82" s="474"/>
      <c r="B82" s="352" t="s">
        <v>996</v>
      </c>
      <c r="C82" s="352"/>
      <c r="D82" s="352"/>
      <c r="E82" s="343" t="s">
        <v>1101</v>
      </c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474" t="s">
        <v>1102</v>
      </c>
      <c r="S82" s="477">
        <v>383852</v>
      </c>
      <c r="T82" s="477"/>
      <c r="U82" s="477"/>
      <c r="V82" s="477"/>
      <c r="W82" s="477"/>
      <c r="X82" s="477"/>
      <c r="Y82" s="477"/>
      <c r="Z82" s="477"/>
      <c r="AA82" s="476">
        <v>84236</v>
      </c>
      <c r="AB82" s="476"/>
    </row>
    <row r="83" spans="1:28" ht="10.5" customHeight="1">
      <c r="A83" s="474"/>
      <c r="B83" s="352" t="s">
        <v>999</v>
      </c>
      <c r="C83" s="352"/>
      <c r="D83" s="352"/>
      <c r="E83" s="343" t="s">
        <v>1103</v>
      </c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474" t="s">
        <v>1104</v>
      </c>
      <c r="S83" s="477">
        <v>997566.36</v>
      </c>
      <c r="T83" s="477"/>
      <c r="U83" s="477"/>
      <c r="V83" s="477"/>
      <c r="W83" s="477">
        <v>8665</v>
      </c>
      <c r="X83" s="477"/>
      <c r="Y83" s="477"/>
      <c r="Z83" s="477"/>
      <c r="AA83" s="476">
        <v>908312.17</v>
      </c>
      <c r="AB83" s="476"/>
    </row>
    <row r="84" spans="1:28" ht="4.5" customHeight="1" thickBot="1">
      <c r="A84" s="491"/>
      <c r="B84" s="491"/>
      <c r="C84" s="491"/>
      <c r="D84" s="491"/>
      <c r="E84" s="491"/>
      <c r="F84" s="491"/>
      <c r="G84" s="491"/>
      <c r="H84" s="491"/>
      <c r="I84" s="491"/>
      <c r="J84" s="491"/>
      <c r="K84" s="491"/>
      <c r="L84" s="491"/>
      <c r="M84" s="491"/>
      <c r="N84" s="491"/>
      <c r="O84" s="491"/>
      <c r="P84" s="491"/>
      <c r="Q84" s="491"/>
      <c r="R84" s="491"/>
      <c r="S84" s="491"/>
      <c r="T84" s="491"/>
      <c r="U84" s="491"/>
      <c r="V84" s="491"/>
      <c r="W84" s="491"/>
      <c r="X84" s="491"/>
      <c r="Y84" s="491"/>
      <c r="Z84" s="491"/>
      <c r="AA84" s="491"/>
      <c r="AB84" s="491"/>
    </row>
    <row r="85" spans="1:28" ht="13.5" thickBot="1">
      <c r="A85" s="470"/>
      <c r="B85" s="369" t="s">
        <v>1053</v>
      </c>
      <c r="C85" s="369"/>
      <c r="D85" s="470"/>
      <c r="E85" s="356" t="s">
        <v>1105</v>
      </c>
      <c r="F85" s="356"/>
      <c r="G85" s="356"/>
      <c r="H85" s="356"/>
      <c r="I85" s="356"/>
      <c r="J85" s="356"/>
      <c r="K85" s="356"/>
      <c r="L85" s="356"/>
      <c r="M85" s="356"/>
      <c r="N85" s="356"/>
      <c r="O85" s="356"/>
      <c r="P85" s="356"/>
      <c r="Q85" s="356"/>
      <c r="R85" s="471"/>
      <c r="S85" s="472">
        <v>22492.31</v>
      </c>
      <c r="T85" s="472"/>
      <c r="U85" s="472"/>
      <c r="V85" s="472"/>
      <c r="W85" s="472"/>
      <c r="X85" s="472"/>
      <c r="Y85" s="472"/>
      <c r="Z85" s="472"/>
      <c r="AA85" s="473">
        <v>19970.14</v>
      </c>
      <c r="AB85" s="473"/>
    </row>
    <row r="86" spans="1:28" ht="12.75">
      <c r="A86" s="474"/>
      <c r="B86" s="355" t="s">
        <v>1492</v>
      </c>
      <c r="C86" s="355"/>
      <c r="D86" s="355"/>
      <c r="E86" s="354" t="s">
        <v>1106</v>
      </c>
      <c r="F86" s="354"/>
      <c r="G86" s="354"/>
      <c r="H86" s="354"/>
      <c r="I86" s="354"/>
      <c r="J86" s="354"/>
      <c r="K86" s="354"/>
      <c r="L86" s="354"/>
      <c r="M86" s="354"/>
      <c r="N86" s="354"/>
      <c r="O86" s="354"/>
      <c r="P86" s="354"/>
      <c r="Q86" s="354"/>
      <c r="R86" s="474" t="s">
        <v>1107</v>
      </c>
      <c r="S86" s="475"/>
      <c r="T86" s="475"/>
      <c r="U86" s="475"/>
      <c r="V86" s="475"/>
      <c r="W86" s="475"/>
      <c r="X86" s="475"/>
      <c r="Y86" s="475"/>
      <c r="Z86" s="475"/>
      <c r="AA86" s="476"/>
      <c r="AB86" s="476"/>
    </row>
    <row r="87" spans="1:28" ht="12.75">
      <c r="A87" s="474"/>
      <c r="B87" s="352" t="s">
        <v>1496</v>
      </c>
      <c r="C87" s="352"/>
      <c r="D87" s="352"/>
      <c r="E87" s="343" t="s">
        <v>1057</v>
      </c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474" t="s">
        <v>1108</v>
      </c>
      <c r="S87" s="477">
        <v>22492.31</v>
      </c>
      <c r="T87" s="477"/>
      <c r="U87" s="477"/>
      <c r="V87" s="477"/>
      <c r="W87" s="477"/>
      <c r="X87" s="477"/>
      <c r="Y87" s="477"/>
      <c r="Z87" s="477"/>
      <c r="AA87" s="476">
        <v>19970.14</v>
      </c>
      <c r="AB87" s="476"/>
    </row>
    <row r="88" spans="1:28" ht="12.75">
      <c r="A88" s="474"/>
      <c r="B88" s="352" t="s">
        <v>1500</v>
      </c>
      <c r="C88" s="352"/>
      <c r="D88" s="352"/>
      <c r="E88" s="343" t="s">
        <v>1109</v>
      </c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474" t="s">
        <v>1110</v>
      </c>
      <c r="S88" s="477"/>
      <c r="T88" s="477"/>
      <c r="U88" s="477"/>
      <c r="V88" s="477"/>
      <c r="W88" s="477"/>
      <c r="X88" s="477"/>
      <c r="Y88" s="477"/>
      <c r="Z88" s="477"/>
      <c r="AA88" s="476"/>
      <c r="AB88" s="476"/>
    </row>
    <row r="89" spans="1:28" ht="12.75">
      <c r="A89" s="474"/>
      <c r="B89" s="352" t="s">
        <v>1506</v>
      </c>
      <c r="C89" s="352"/>
      <c r="D89" s="352"/>
      <c r="E89" s="343" t="s">
        <v>1111</v>
      </c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474" t="s">
        <v>1112</v>
      </c>
      <c r="S89" s="477"/>
      <c r="T89" s="477"/>
      <c r="U89" s="477"/>
      <c r="V89" s="477"/>
      <c r="W89" s="477"/>
      <c r="X89" s="477"/>
      <c r="Y89" s="477"/>
      <c r="Z89" s="477"/>
      <c r="AA89" s="476"/>
      <c r="AB89" s="476"/>
    </row>
    <row r="90" spans="1:28" ht="12.75">
      <c r="A90" s="474"/>
      <c r="B90" s="352" t="s">
        <v>1515</v>
      </c>
      <c r="C90" s="352"/>
      <c r="D90" s="352"/>
      <c r="E90" s="343" t="s">
        <v>1113</v>
      </c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474" t="s">
        <v>1114</v>
      </c>
      <c r="S90" s="477"/>
      <c r="T90" s="477"/>
      <c r="U90" s="477"/>
      <c r="V90" s="477"/>
      <c r="W90" s="477"/>
      <c r="X90" s="477"/>
      <c r="Y90" s="477"/>
      <c r="Z90" s="477"/>
      <c r="AA90" s="476"/>
      <c r="AB90" s="476"/>
    </row>
    <row r="91" spans="1:28" ht="4.5" customHeight="1" thickBot="1">
      <c r="A91" s="494"/>
      <c r="B91" s="494"/>
      <c r="C91" s="494"/>
      <c r="D91" s="494"/>
      <c r="E91" s="494"/>
      <c r="F91" s="494"/>
      <c r="G91" s="494"/>
      <c r="H91" s="494"/>
      <c r="I91" s="494"/>
      <c r="J91" s="494"/>
      <c r="K91" s="494"/>
      <c r="L91" s="494"/>
      <c r="M91" s="494"/>
      <c r="N91" s="494"/>
      <c r="O91" s="494"/>
      <c r="P91" s="494"/>
      <c r="Q91" s="494"/>
      <c r="R91" s="494"/>
      <c r="S91" s="494"/>
      <c r="T91" s="494"/>
      <c r="U91" s="494"/>
      <c r="V91" s="494"/>
      <c r="W91" s="494"/>
      <c r="X91" s="494"/>
      <c r="Y91" s="494"/>
      <c r="Z91" s="494"/>
      <c r="AA91" s="494"/>
      <c r="AB91" s="494"/>
    </row>
    <row r="92" spans="1:28" ht="13.5" thickBot="1">
      <c r="A92" s="470"/>
      <c r="B92" s="369" t="s">
        <v>1115</v>
      </c>
      <c r="C92" s="369"/>
      <c r="D92" s="470"/>
      <c r="E92" s="356" t="s">
        <v>1116</v>
      </c>
      <c r="F92" s="356"/>
      <c r="G92" s="356"/>
      <c r="H92" s="356"/>
      <c r="I92" s="356"/>
      <c r="J92" s="356"/>
      <c r="K92" s="356"/>
      <c r="L92" s="356"/>
      <c r="M92" s="356"/>
      <c r="N92" s="356"/>
      <c r="O92" s="356"/>
      <c r="P92" s="356"/>
      <c r="Q92" s="356"/>
      <c r="R92" s="471"/>
      <c r="S92" s="472">
        <v>25676703.71</v>
      </c>
      <c r="T92" s="472"/>
      <c r="U92" s="472"/>
      <c r="V92" s="472"/>
      <c r="W92" s="472"/>
      <c r="X92" s="472"/>
      <c r="Y92" s="472"/>
      <c r="Z92" s="472"/>
      <c r="AA92" s="473">
        <v>23601975.96</v>
      </c>
      <c r="AB92" s="473"/>
    </row>
    <row r="93" spans="1:28" ht="12.75">
      <c r="A93" s="474"/>
      <c r="B93" s="355" t="s">
        <v>1492</v>
      </c>
      <c r="C93" s="355"/>
      <c r="D93" s="355"/>
      <c r="E93" s="354" t="s">
        <v>1117</v>
      </c>
      <c r="F93" s="354"/>
      <c r="G93" s="354"/>
      <c r="H93" s="354"/>
      <c r="I93" s="354"/>
      <c r="J93" s="354"/>
      <c r="K93" s="354"/>
      <c r="L93" s="354"/>
      <c r="M93" s="354"/>
      <c r="N93" s="354"/>
      <c r="O93" s="354"/>
      <c r="P93" s="354"/>
      <c r="Q93" s="354"/>
      <c r="R93" s="474" t="s">
        <v>1118</v>
      </c>
      <c r="S93" s="475"/>
      <c r="T93" s="475"/>
      <c r="U93" s="475"/>
      <c r="V93" s="475"/>
      <c r="W93" s="475"/>
      <c r="X93" s="475"/>
      <c r="Y93" s="475"/>
      <c r="Z93" s="475"/>
      <c r="AA93" s="476"/>
      <c r="AB93" s="476"/>
    </row>
    <row r="94" spans="1:28" ht="12.75">
      <c r="A94" s="474"/>
      <c r="B94" s="352" t="s">
        <v>1496</v>
      </c>
      <c r="C94" s="352"/>
      <c r="D94" s="352"/>
      <c r="E94" s="343" t="s">
        <v>1119</v>
      </c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474" t="s">
        <v>1120</v>
      </c>
      <c r="S94" s="477">
        <v>25676703.71</v>
      </c>
      <c r="T94" s="477"/>
      <c r="U94" s="477"/>
      <c r="V94" s="477"/>
      <c r="W94" s="477"/>
      <c r="X94" s="477"/>
      <c r="Y94" s="477"/>
      <c r="Z94" s="477"/>
      <c r="AA94" s="476">
        <v>23601975.96</v>
      </c>
      <c r="AB94" s="476"/>
    </row>
    <row r="95" spans="1:28" ht="4.5" customHeight="1" thickBot="1">
      <c r="A95" s="491"/>
      <c r="B95" s="491"/>
      <c r="C95" s="491"/>
      <c r="D95" s="491"/>
      <c r="E95" s="491"/>
      <c r="F95" s="491"/>
      <c r="G95" s="491"/>
      <c r="H95" s="491"/>
      <c r="I95" s="491"/>
      <c r="J95" s="491"/>
      <c r="K95" s="491"/>
      <c r="L95" s="491"/>
      <c r="M95" s="491"/>
      <c r="N95" s="491"/>
      <c r="O95" s="491"/>
      <c r="P95" s="491"/>
      <c r="Q95" s="491"/>
      <c r="R95" s="491"/>
      <c r="S95" s="491"/>
      <c r="T95" s="491"/>
      <c r="U95" s="491"/>
      <c r="V95" s="491"/>
      <c r="W95" s="491"/>
      <c r="X95" s="491"/>
      <c r="Y95" s="491"/>
      <c r="Z95" s="491"/>
      <c r="AA95" s="491"/>
      <c r="AB95" s="491"/>
    </row>
    <row r="96" spans="1:28" ht="13.5" thickBot="1">
      <c r="A96" s="470"/>
      <c r="B96" s="369" t="s">
        <v>1121</v>
      </c>
      <c r="C96" s="369"/>
      <c r="D96" s="470"/>
      <c r="E96" s="356" t="s">
        <v>1122</v>
      </c>
      <c r="F96" s="356"/>
      <c r="G96" s="356"/>
      <c r="H96" s="356"/>
      <c r="I96" s="356"/>
      <c r="J96" s="356"/>
      <c r="K96" s="356"/>
      <c r="L96" s="356"/>
      <c r="M96" s="356"/>
      <c r="N96" s="356"/>
      <c r="O96" s="356"/>
      <c r="P96" s="356"/>
      <c r="Q96" s="356"/>
      <c r="R96" s="471"/>
      <c r="S96" s="472"/>
      <c r="T96" s="472"/>
      <c r="U96" s="472"/>
      <c r="V96" s="472"/>
      <c r="W96" s="472"/>
      <c r="X96" s="472"/>
      <c r="Y96" s="472"/>
      <c r="Z96" s="472"/>
      <c r="AA96" s="473"/>
      <c r="AB96" s="473"/>
    </row>
    <row r="97" spans="1:28" ht="12.75">
      <c r="A97" s="474"/>
      <c r="B97" s="355" t="s">
        <v>1492</v>
      </c>
      <c r="C97" s="355"/>
      <c r="D97" s="355"/>
      <c r="E97" s="354" t="s">
        <v>1123</v>
      </c>
      <c r="F97" s="354"/>
      <c r="G97" s="354"/>
      <c r="H97" s="354"/>
      <c r="I97" s="354"/>
      <c r="J97" s="354"/>
      <c r="K97" s="354"/>
      <c r="L97" s="354"/>
      <c r="M97" s="354"/>
      <c r="N97" s="354"/>
      <c r="O97" s="354"/>
      <c r="P97" s="354"/>
      <c r="Q97" s="354"/>
      <c r="R97" s="474"/>
      <c r="S97" s="475"/>
      <c r="T97" s="475"/>
      <c r="U97" s="475"/>
      <c r="V97" s="475"/>
      <c r="W97" s="475">
        <v>118542.99</v>
      </c>
      <c r="X97" s="475"/>
      <c r="Y97" s="475"/>
      <c r="Z97" s="475"/>
      <c r="AA97" s="476"/>
      <c r="AB97" s="476">
        <v>254041.2</v>
      </c>
    </row>
    <row r="98" spans="1:28" ht="12.75">
      <c r="A98" s="474"/>
      <c r="B98" s="352" t="s">
        <v>1496</v>
      </c>
      <c r="C98" s="352"/>
      <c r="D98" s="352"/>
      <c r="E98" s="343" t="s">
        <v>1124</v>
      </c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474"/>
      <c r="S98" s="477"/>
      <c r="T98" s="477"/>
      <c r="U98" s="477"/>
      <c r="V98" s="477"/>
      <c r="W98" s="477">
        <v>118542.99</v>
      </c>
      <c r="X98" s="477"/>
      <c r="Y98" s="477"/>
      <c r="Z98" s="477"/>
      <c r="AA98" s="476"/>
      <c r="AB98" s="476">
        <v>254041.2</v>
      </c>
    </row>
    <row r="99" spans="1:28" ht="13.5" thickBot="1">
      <c r="A99" s="481" t="s">
        <v>1125</v>
      </c>
      <c r="B99" s="481"/>
      <c r="C99" s="481"/>
      <c r="D99" s="481"/>
      <c r="E99" s="481"/>
      <c r="F99" s="481"/>
      <c r="G99" s="481"/>
      <c r="H99" s="481"/>
      <c r="I99" s="481"/>
      <c r="J99" s="481"/>
      <c r="K99" s="481"/>
      <c r="L99" s="481"/>
      <c r="M99" s="481"/>
      <c r="N99" s="481"/>
      <c r="O99" s="481"/>
      <c r="P99" s="481"/>
      <c r="Q99" s="481"/>
      <c r="R99" s="481"/>
      <c r="S99" s="481"/>
      <c r="T99" s="481"/>
      <c r="U99" s="481"/>
      <c r="V99" s="481"/>
      <c r="W99" s="481"/>
      <c r="X99" s="481"/>
      <c r="Y99" s="481"/>
      <c r="Z99" s="481"/>
      <c r="AA99" s="481"/>
      <c r="AB99" s="481"/>
    </row>
    <row r="100" spans="1:28" ht="12.75">
      <c r="A100" s="447" t="s">
        <v>1144</v>
      </c>
      <c r="B100" s="447"/>
      <c r="C100" s="447"/>
      <c r="D100" s="447"/>
      <c r="E100" s="447"/>
      <c r="F100" s="447"/>
      <c r="G100" s="447"/>
      <c r="H100" s="447"/>
      <c r="I100" s="447"/>
      <c r="J100" s="447"/>
      <c r="K100" s="447"/>
      <c r="L100" s="447"/>
      <c r="M100" s="448" t="s">
        <v>1127</v>
      </c>
      <c r="N100" s="448"/>
      <c r="O100" s="448"/>
      <c r="P100" s="448"/>
      <c r="Q100" s="448"/>
      <c r="R100" s="448"/>
      <c r="S100" s="448"/>
      <c r="T100" s="448"/>
      <c r="U100" s="448"/>
      <c r="V100" s="448"/>
      <c r="W100" s="448"/>
      <c r="X100" s="448"/>
      <c r="Y100" s="449" t="s">
        <v>945</v>
      </c>
      <c r="Z100" s="449"/>
      <c r="AA100" s="449"/>
      <c r="AB100" s="449"/>
    </row>
  </sheetData>
  <mergeCells count="363">
    <mergeCell ref="A99:AB99"/>
    <mergeCell ref="A100:L100"/>
    <mergeCell ref="M100:X100"/>
    <mergeCell ref="Y100:AB100"/>
    <mergeCell ref="B98:D98"/>
    <mergeCell ref="E98:Q98"/>
    <mergeCell ref="S98:V98"/>
    <mergeCell ref="W98:Z98"/>
    <mergeCell ref="B97:D97"/>
    <mergeCell ref="E97:Q97"/>
    <mergeCell ref="S97:V97"/>
    <mergeCell ref="W97:Z97"/>
    <mergeCell ref="A95:AB95"/>
    <mergeCell ref="B96:C96"/>
    <mergeCell ref="E96:Q96"/>
    <mergeCell ref="S96:V96"/>
    <mergeCell ref="W96:Z96"/>
    <mergeCell ref="B94:D94"/>
    <mergeCell ref="E94:Q94"/>
    <mergeCell ref="S94:V94"/>
    <mergeCell ref="W94:Z94"/>
    <mergeCell ref="B93:D93"/>
    <mergeCell ref="E93:Q93"/>
    <mergeCell ref="S93:V93"/>
    <mergeCell ref="W93:Z93"/>
    <mergeCell ref="A91:AB91"/>
    <mergeCell ref="B92:C92"/>
    <mergeCell ref="E92:Q92"/>
    <mergeCell ref="S92:V92"/>
    <mergeCell ref="W92:Z92"/>
    <mergeCell ref="B90:D90"/>
    <mergeCell ref="E90:Q90"/>
    <mergeCell ref="S90:V90"/>
    <mergeCell ref="W90:Z90"/>
    <mergeCell ref="B89:D89"/>
    <mergeCell ref="E89:Q89"/>
    <mergeCell ref="S89:V89"/>
    <mergeCell ref="W89:Z89"/>
    <mergeCell ref="B88:D88"/>
    <mergeCell ref="E88:Q88"/>
    <mergeCell ref="S88:V88"/>
    <mergeCell ref="W88:Z88"/>
    <mergeCell ref="B87:D87"/>
    <mergeCell ref="E87:Q87"/>
    <mergeCell ref="S87:V87"/>
    <mergeCell ref="W87:Z87"/>
    <mergeCell ref="B86:D86"/>
    <mergeCell ref="E86:Q86"/>
    <mergeCell ref="S86:V86"/>
    <mergeCell ref="W86:Z86"/>
    <mergeCell ref="A84:AB84"/>
    <mergeCell ref="B85:C85"/>
    <mergeCell ref="E85:Q85"/>
    <mergeCell ref="S85:V85"/>
    <mergeCell ref="W85:Z85"/>
    <mergeCell ref="B83:D83"/>
    <mergeCell ref="E83:Q83"/>
    <mergeCell ref="S83:V83"/>
    <mergeCell ref="W83:Z83"/>
    <mergeCell ref="B82:D82"/>
    <mergeCell ref="E82:Q82"/>
    <mergeCell ref="S82:V82"/>
    <mergeCell ref="W82:Z82"/>
    <mergeCell ref="B81:D81"/>
    <mergeCell ref="E81:Q81"/>
    <mergeCell ref="S81:V81"/>
    <mergeCell ref="W81:Z81"/>
    <mergeCell ref="B80:D80"/>
    <mergeCell ref="E80:Q80"/>
    <mergeCell ref="S80:V80"/>
    <mergeCell ref="W80:Z80"/>
    <mergeCell ref="B79:D79"/>
    <mergeCell ref="E79:Q79"/>
    <mergeCell ref="S79:V79"/>
    <mergeCell ref="W79:Z79"/>
    <mergeCell ref="B78:D78"/>
    <mergeCell ref="E78:Q78"/>
    <mergeCell ref="S78:V78"/>
    <mergeCell ref="W78:Z78"/>
    <mergeCell ref="B77:D77"/>
    <mergeCell ref="E77:Q77"/>
    <mergeCell ref="S77:V77"/>
    <mergeCell ref="W77:Z77"/>
    <mergeCell ref="B76:D76"/>
    <mergeCell ref="E76:Q76"/>
    <mergeCell ref="S76:V76"/>
    <mergeCell ref="W76:Z76"/>
    <mergeCell ref="B75:D75"/>
    <mergeCell ref="E75:Q75"/>
    <mergeCell ref="S75:V75"/>
    <mergeCell ref="W75:Z75"/>
    <mergeCell ref="B74:D74"/>
    <mergeCell ref="E74:Q74"/>
    <mergeCell ref="S74:V74"/>
    <mergeCell ref="W74:Z74"/>
    <mergeCell ref="B73:D73"/>
    <mergeCell ref="E73:Q73"/>
    <mergeCell ref="S73:V73"/>
    <mergeCell ref="W73:Z73"/>
    <mergeCell ref="B72:D72"/>
    <mergeCell ref="E72:Q72"/>
    <mergeCell ref="S72:V72"/>
    <mergeCell ref="W72:Z72"/>
    <mergeCell ref="B71:D71"/>
    <mergeCell ref="E71:Q71"/>
    <mergeCell ref="S71:V71"/>
    <mergeCell ref="W71:Z71"/>
    <mergeCell ref="B70:D70"/>
    <mergeCell ref="E70:Q70"/>
    <mergeCell ref="S70:V70"/>
    <mergeCell ref="W70:Z70"/>
    <mergeCell ref="W67:Z67"/>
    <mergeCell ref="A68:AB68"/>
    <mergeCell ref="B69:C69"/>
    <mergeCell ref="E69:Q69"/>
    <mergeCell ref="S69:V69"/>
    <mergeCell ref="W69:Z69"/>
    <mergeCell ref="A67:B67"/>
    <mergeCell ref="C67:D67"/>
    <mergeCell ref="E67:Q67"/>
    <mergeCell ref="S67:V67"/>
    <mergeCell ref="B66:D66"/>
    <mergeCell ref="E66:Q66"/>
    <mergeCell ref="S66:V66"/>
    <mergeCell ref="W66:Z66"/>
    <mergeCell ref="B65:D65"/>
    <mergeCell ref="E65:Q65"/>
    <mergeCell ref="S65:V65"/>
    <mergeCell ref="W65:Z65"/>
    <mergeCell ref="A63:AB63"/>
    <mergeCell ref="B64:C64"/>
    <mergeCell ref="E64:Q64"/>
    <mergeCell ref="S64:V64"/>
    <mergeCell ref="W64:Z64"/>
    <mergeCell ref="B62:D62"/>
    <mergeCell ref="E62:Q62"/>
    <mergeCell ref="S62:V62"/>
    <mergeCell ref="W62:Z62"/>
    <mergeCell ref="B61:D61"/>
    <mergeCell ref="E61:Q61"/>
    <mergeCell ref="S61:V61"/>
    <mergeCell ref="W61:Z61"/>
    <mergeCell ref="A59:AB59"/>
    <mergeCell ref="B60:C60"/>
    <mergeCell ref="E60:Q60"/>
    <mergeCell ref="S60:V60"/>
    <mergeCell ref="W60:Z60"/>
    <mergeCell ref="B58:D58"/>
    <mergeCell ref="E58:Q58"/>
    <mergeCell ref="S58:V58"/>
    <mergeCell ref="W58:Z58"/>
    <mergeCell ref="B57:D57"/>
    <mergeCell ref="E57:Q57"/>
    <mergeCell ref="S57:V57"/>
    <mergeCell ref="W57:Z57"/>
    <mergeCell ref="B56:D56"/>
    <mergeCell ref="E56:Q56"/>
    <mergeCell ref="S56:V56"/>
    <mergeCell ref="W56:Z56"/>
    <mergeCell ref="B55:D55"/>
    <mergeCell ref="E55:Q55"/>
    <mergeCell ref="S55:V55"/>
    <mergeCell ref="W55:Z55"/>
    <mergeCell ref="B54:D54"/>
    <mergeCell ref="E54:Q54"/>
    <mergeCell ref="S54:V54"/>
    <mergeCell ref="W54:Z54"/>
    <mergeCell ref="B53:C53"/>
    <mergeCell ref="E53:Q53"/>
    <mergeCell ref="S53:V53"/>
    <mergeCell ref="W53:Z53"/>
    <mergeCell ref="W51:Z51"/>
    <mergeCell ref="A52:D52"/>
    <mergeCell ref="E52:P52"/>
    <mergeCell ref="Q52:R52"/>
    <mergeCell ref="S52:V52"/>
    <mergeCell ref="W52:Z52"/>
    <mergeCell ref="A51:D51"/>
    <mergeCell ref="E51:P51"/>
    <mergeCell ref="Q51:R51"/>
    <mergeCell ref="S51:V51"/>
    <mergeCell ref="A49:AB49"/>
    <mergeCell ref="A50:D50"/>
    <mergeCell ref="E50:P50"/>
    <mergeCell ref="Q50:R50"/>
    <mergeCell ref="S50:Z50"/>
    <mergeCell ref="AA50:AB50"/>
    <mergeCell ref="B48:D48"/>
    <mergeCell ref="E48:Q48"/>
    <mergeCell ref="S48:V48"/>
    <mergeCell ref="W48:Z48"/>
    <mergeCell ref="B47:D47"/>
    <mergeCell ref="E47:Q47"/>
    <mergeCell ref="S47:V47"/>
    <mergeCell ref="W47:Z47"/>
    <mergeCell ref="B46:D46"/>
    <mergeCell ref="E46:Q46"/>
    <mergeCell ref="S46:V46"/>
    <mergeCell ref="W46:Z46"/>
    <mergeCell ref="B45:D45"/>
    <mergeCell ref="E45:Q45"/>
    <mergeCell ref="S45:V45"/>
    <mergeCell ref="W45:Z45"/>
    <mergeCell ref="B44:D44"/>
    <mergeCell ref="E44:Q44"/>
    <mergeCell ref="S44:V44"/>
    <mergeCell ref="W44:Z44"/>
    <mergeCell ref="B43:D43"/>
    <mergeCell ref="E43:Q43"/>
    <mergeCell ref="S43:V43"/>
    <mergeCell ref="W43:Z43"/>
    <mergeCell ref="B42:D42"/>
    <mergeCell ref="E42:Q42"/>
    <mergeCell ref="S42:V42"/>
    <mergeCell ref="W42:Z42"/>
    <mergeCell ref="B41:D41"/>
    <mergeCell ref="E41:Q41"/>
    <mergeCell ref="S41:V41"/>
    <mergeCell ref="W41:Z41"/>
    <mergeCell ref="B40:D40"/>
    <mergeCell ref="E40:Q40"/>
    <mergeCell ref="S40:V40"/>
    <mergeCell ref="W40:Z40"/>
    <mergeCell ref="B39:D39"/>
    <mergeCell ref="E39:Q39"/>
    <mergeCell ref="S39:V39"/>
    <mergeCell ref="W39:Z39"/>
    <mergeCell ref="B38:D38"/>
    <mergeCell ref="E38:Q38"/>
    <mergeCell ref="S38:V38"/>
    <mergeCell ref="W38:Z38"/>
    <mergeCell ref="B37:D37"/>
    <mergeCell ref="E37:Q37"/>
    <mergeCell ref="S37:V37"/>
    <mergeCell ref="W37:Z37"/>
    <mergeCell ref="B36:D36"/>
    <mergeCell ref="E36:Q36"/>
    <mergeCell ref="S36:V36"/>
    <mergeCell ref="W36:Z36"/>
    <mergeCell ref="B35:D35"/>
    <mergeCell ref="E35:Q35"/>
    <mergeCell ref="S35:V35"/>
    <mergeCell ref="W35:Z35"/>
    <mergeCell ref="B34:D34"/>
    <mergeCell ref="E34:Q34"/>
    <mergeCell ref="S34:V34"/>
    <mergeCell ref="W34:Z34"/>
    <mergeCell ref="B33:D33"/>
    <mergeCell ref="E33:Q33"/>
    <mergeCell ref="S33:V33"/>
    <mergeCell ref="W33:Z33"/>
    <mergeCell ref="B32:D32"/>
    <mergeCell ref="E32:Q32"/>
    <mergeCell ref="S32:V32"/>
    <mergeCell ref="W32:Z32"/>
    <mergeCell ref="B31:D31"/>
    <mergeCell ref="E31:Q31"/>
    <mergeCell ref="S31:V31"/>
    <mergeCell ref="W31:Z31"/>
    <mergeCell ref="B30:D30"/>
    <mergeCell ref="E30:Q30"/>
    <mergeCell ref="S30:V30"/>
    <mergeCell ref="W30:Z30"/>
    <mergeCell ref="B29:D29"/>
    <mergeCell ref="E29:Q29"/>
    <mergeCell ref="S29:V29"/>
    <mergeCell ref="W29:Z29"/>
    <mergeCell ref="B28:D28"/>
    <mergeCell ref="E28:Q28"/>
    <mergeCell ref="S28:V28"/>
    <mergeCell ref="W28:Z28"/>
    <mergeCell ref="B27:D27"/>
    <mergeCell ref="E27:Q27"/>
    <mergeCell ref="S27:V27"/>
    <mergeCell ref="W27:Z27"/>
    <mergeCell ref="B26:D26"/>
    <mergeCell ref="E26:Q26"/>
    <mergeCell ref="S26:V26"/>
    <mergeCell ref="W26:Z26"/>
    <mergeCell ref="B25:D25"/>
    <mergeCell ref="E25:Q25"/>
    <mergeCell ref="S25:V25"/>
    <mergeCell ref="W25:Z25"/>
    <mergeCell ref="B24:D24"/>
    <mergeCell ref="E24:Q24"/>
    <mergeCell ref="S24:V24"/>
    <mergeCell ref="W24:Z24"/>
    <mergeCell ref="B23:D23"/>
    <mergeCell ref="E23:Q23"/>
    <mergeCell ref="S23:V23"/>
    <mergeCell ref="W23:Z23"/>
    <mergeCell ref="B22:D22"/>
    <mergeCell ref="E22:Q22"/>
    <mergeCell ref="S22:V22"/>
    <mergeCell ref="W22:Z22"/>
    <mergeCell ref="B21:D21"/>
    <mergeCell ref="E21:Q21"/>
    <mergeCell ref="S21:V21"/>
    <mergeCell ref="W21:Z21"/>
    <mergeCell ref="B20:D20"/>
    <mergeCell ref="E20:Q20"/>
    <mergeCell ref="S20:V20"/>
    <mergeCell ref="W20:Z20"/>
    <mergeCell ref="B19:D19"/>
    <mergeCell ref="E19:Q19"/>
    <mergeCell ref="S19:V19"/>
    <mergeCell ref="W19:Z19"/>
    <mergeCell ref="B18:D18"/>
    <mergeCell ref="E18:Q18"/>
    <mergeCell ref="S18:V18"/>
    <mergeCell ref="W18:Z18"/>
    <mergeCell ref="B17:D17"/>
    <mergeCell ref="E17:Q17"/>
    <mergeCell ref="S17:V17"/>
    <mergeCell ref="W17:Z17"/>
    <mergeCell ref="B16:D16"/>
    <mergeCell ref="E16:Q16"/>
    <mergeCell ref="S16:V16"/>
    <mergeCell ref="W16:Z16"/>
    <mergeCell ref="B15:D15"/>
    <mergeCell ref="E15:Q15"/>
    <mergeCell ref="S15:V15"/>
    <mergeCell ref="W15:Z15"/>
    <mergeCell ref="B14:D14"/>
    <mergeCell ref="E14:Q14"/>
    <mergeCell ref="S14:V14"/>
    <mergeCell ref="W14:Z14"/>
    <mergeCell ref="W11:Z11"/>
    <mergeCell ref="A12:AB12"/>
    <mergeCell ref="B13:C13"/>
    <mergeCell ref="E13:Q13"/>
    <mergeCell ref="S13:V13"/>
    <mergeCell ref="W13:Z13"/>
    <mergeCell ref="A11:B11"/>
    <mergeCell ref="C11:D11"/>
    <mergeCell ref="E11:Q11"/>
    <mergeCell ref="S11:V11"/>
    <mergeCell ref="W9:Z9"/>
    <mergeCell ref="A10:D10"/>
    <mergeCell ref="E10:P10"/>
    <mergeCell ref="Q10:R10"/>
    <mergeCell ref="S10:V10"/>
    <mergeCell ref="W10:Z10"/>
    <mergeCell ref="A9:D9"/>
    <mergeCell ref="E9:P9"/>
    <mergeCell ref="Q9:R9"/>
    <mergeCell ref="S9:V9"/>
    <mergeCell ref="A7:AB7"/>
    <mergeCell ref="A8:D8"/>
    <mergeCell ref="E8:P8"/>
    <mergeCell ref="Q8:R8"/>
    <mergeCell ref="S8:Z8"/>
    <mergeCell ref="AA8:AB8"/>
    <mergeCell ref="A4:H4"/>
    <mergeCell ref="I4:AB4"/>
    <mergeCell ref="A5:H5"/>
    <mergeCell ref="A6:H6"/>
    <mergeCell ref="A1:H1"/>
    <mergeCell ref="A2:H2"/>
    <mergeCell ref="I2:AB2"/>
    <mergeCell ref="A3:B3"/>
    <mergeCell ref="C3:H3"/>
    <mergeCell ref="I3:AB3"/>
  </mergeCells>
  <printOptions/>
  <pageMargins left="0.3937007874015748" right="0.3937007874015748" top="0.5905511811023623" bottom="0.5905511811023623" header="0.31496062992125984" footer="0.31496062992125984"/>
  <pageSetup horizontalDpi="200" verticalDpi="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Radotín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Tišlová</dc:creator>
  <cp:keywords/>
  <dc:description/>
  <cp:lastModifiedBy>Marta Tišlová</cp:lastModifiedBy>
  <cp:lastPrinted>2014-01-09T23:07:49Z</cp:lastPrinted>
  <dcterms:created xsi:type="dcterms:W3CDTF">2009-11-29T19:02:18Z</dcterms:created>
  <dcterms:modified xsi:type="dcterms:W3CDTF">2014-01-09T23:09:23Z</dcterms:modified>
  <cp:category/>
  <cp:version/>
  <cp:contentType/>
  <cp:contentStatus/>
</cp:coreProperties>
</file>